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150" windowWidth="11955" windowHeight="9675" activeTab="1"/>
  </bookViews>
  <sheets>
    <sheet name="Parameters" sheetId="15" r:id="rId1"/>
    <sheet name="Plan24h2011" sheetId="12" r:id="rId2"/>
    <sheet name="CoursesBasis" sheetId="6" r:id="rId3"/>
    <sheet name="TimeBasis" sheetId="14" r:id="rId4"/>
    <sheet name="2007" sheetId="16" r:id="rId5"/>
    <sheet name="2009" sheetId="17" r:id="rId6"/>
  </sheets>
  <definedNames>
    <definedName name="_xlnm._FilterDatabase" localSheetId="4" hidden="1">'2007'!$A$1:$I$31</definedName>
    <definedName name="_xlnm._FilterDatabase" localSheetId="1" hidden="1">Plan24h2011!$A$2:$X$41</definedName>
    <definedName name="Basis">Parameters!$A$1:$D$7</definedName>
    <definedName name="Climbfaktor">Parameters!$B$23</definedName>
    <definedName name="Courses">CoursesBasis!$B$2:$Q$14</definedName>
    <definedName name="_xlnm.Print_Area" localSheetId="1">Plan24h2011!$A$1:$X$41</definedName>
    <definedName name="Endzeit">Plan24h2011!$AC$27</definedName>
    <definedName name="Erm">Parameters!$A$40:$B$47</definedName>
    <definedName name="Schwierigkeit">Parameters!$A$9:$B$21</definedName>
    <definedName name="Startzeit">Parameters!$B$25</definedName>
    <definedName name="Twilight">Plan24h2011!$AC$26</definedName>
    <definedName name="Zeit">Parameters!$B$31:$C$36</definedName>
  </definedNames>
  <calcPr calcId="145621"/>
</workbook>
</file>

<file path=xl/calcChain.xml><?xml version="1.0" encoding="utf-8"?>
<calcChain xmlns="http://schemas.openxmlformats.org/spreadsheetml/2006/main">
  <c r="O3" i="12" l="1"/>
  <c r="T40" i="12"/>
  <c r="T39" i="12"/>
  <c r="T38" i="12"/>
  <c r="T37" i="12"/>
  <c r="T36" i="12"/>
  <c r="T35" i="12"/>
  <c r="T34" i="12"/>
  <c r="T33" i="12"/>
  <c r="T32" i="12"/>
  <c r="T31" i="12"/>
  <c r="T30" i="12"/>
  <c r="T29" i="12"/>
  <c r="T28" i="12"/>
  <c r="T27" i="12"/>
  <c r="T26" i="12"/>
  <c r="T25" i="12"/>
  <c r="T24" i="12"/>
  <c r="T23" i="12"/>
  <c r="T22" i="12"/>
  <c r="T21" i="12"/>
  <c r="T20" i="12"/>
  <c r="T19" i="12"/>
  <c r="T18" i="12"/>
  <c r="T17" i="12"/>
  <c r="T16" i="12"/>
  <c r="T15" i="12"/>
  <c r="T14" i="12"/>
  <c r="T13" i="12"/>
  <c r="T12" i="12"/>
  <c r="T11" i="12"/>
  <c r="T10" i="12"/>
  <c r="T9" i="12"/>
  <c r="T8" i="12"/>
  <c r="T6" i="12"/>
  <c r="T5" i="12"/>
  <c r="T4" i="12"/>
  <c r="T7" i="12"/>
  <c r="J4" i="6"/>
  <c r="J5" i="6"/>
  <c r="G15" i="17" s="1"/>
  <c r="J6" i="6"/>
  <c r="G14" i="17" s="1"/>
  <c r="H14" i="17" s="1"/>
  <c r="J7" i="6"/>
  <c r="G8" i="17" s="1"/>
  <c r="H8" i="17" s="1"/>
  <c r="J8" i="6"/>
  <c r="G16" i="17" s="1"/>
  <c r="H16" i="17" s="1"/>
  <c r="J9" i="6"/>
  <c r="G17" i="17" s="1"/>
  <c r="H17" i="17" s="1"/>
  <c r="J10" i="6"/>
  <c r="G25" i="17" s="1"/>
  <c r="J11" i="6"/>
  <c r="G29" i="17" s="1"/>
  <c r="H29" i="17" s="1"/>
  <c r="J12" i="6"/>
  <c r="G26" i="17" s="1"/>
  <c r="J13" i="6"/>
  <c r="G31" i="17" s="1"/>
  <c r="J14" i="6"/>
  <c r="U16" i="17"/>
  <c r="T16" i="17"/>
  <c r="D3" i="15"/>
  <c r="E3" i="15"/>
  <c r="AA4" i="12"/>
  <c r="AA5" i="12"/>
  <c r="AA6" i="12"/>
  <c r="AA7" i="12"/>
  <c r="AA8" i="12"/>
  <c r="AA9" i="12"/>
  <c r="AA10" i="12"/>
  <c r="AA11" i="12"/>
  <c r="AA12" i="12"/>
  <c r="AA13" i="12"/>
  <c r="AA14" i="12"/>
  <c r="AA3" i="12"/>
  <c r="D2" i="17"/>
  <c r="D3" i="17" s="1"/>
  <c r="K3" i="17"/>
  <c r="K4" i="17"/>
  <c r="K5" i="17"/>
  <c r="K6" i="17"/>
  <c r="K7" i="17"/>
  <c r="K8" i="17"/>
  <c r="K9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2" i="17"/>
  <c r="I9" i="17"/>
  <c r="I10" i="17"/>
  <c r="I11" i="17"/>
  <c r="I12" i="17"/>
  <c r="I13" i="17"/>
  <c r="I15" i="17"/>
  <c r="I16" i="17"/>
  <c r="I17" i="17"/>
  <c r="I18" i="17"/>
  <c r="I19" i="17"/>
  <c r="I21" i="17"/>
  <c r="I27" i="17" s="1"/>
  <c r="I22" i="17"/>
  <c r="I23" i="17"/>
  <c r="I24" i="17"/>
  <c r="I25" i="17"/>
  <c r="I31" i="17" s="1"/>
  <c r="I28" i="17"/>
  <c r="I29" i="17"/>
  <c r="I30" i="17"/>
  <c r="I8" i="17"/>
  <c r="O14" i="6"/>
  <c r="B48" i="14" s="1"/>
  <c r="I31" i="12"/>
  <c r="J8" i="16"/>
  <c r="J9" i="16"/>
  <c r="J10" i="16"/>
  <c r="J11" i="16"/>
  <c r="J12" i="16"/>
  <c r="J13" i="16"/>
  <c r="J14" i="16"/>
  <c r="J15" i="16"/>
  <c r="J16" i="16"/>
  <c r="J17" i="16"/>
  <c r="J18" i="16"/>
  <c r="J19" i="16"/>
  <c r="J20" i="16"/>
  <c r="J21" i="16"/>
  <c r="J22" i="16"/>
  <c r="J28" i="16" s="1"/>
  <c r="K28" i="16" s="1"/>
  <c r="J23" i="16"/>
  <c r="J29" i="16" s="1"/>
  <c r="K29" i="16" s="1"/>
  <c r="N29" i="16" s="1"/>
  <c r="O29" i="16" s="1"/>
  <c r="J24" i="16"/>
  <c r="J25" i="16"/>
  <c r="J26" i="16"/>
  <c r="J27" i="16"/>
  <c r="K27" i="16" s="1"/>
  <c r="J30" i="16"/>
  <c r="A4" i="14"/>
  <c r="Q41" i="12"/>
  <c r="R41" i="12"/>
  <c r="S41" i="12"/>
  <c r="F3" i="12"/>
  <c r="F4" i="12"/>
  <c r="F5" i="12"/>
  <c r="F6" i="12"/>
  <c r="F7" i="12"/>
  <c r="F8" i="12"/>
  <c r="D9" i="12"/>
  <c r="F9" i="12" s="1"/>
  <c r="G9" i="12"/>
  <c r="D10" i="12"/>
  <c r="F10" i="12" s="1"/>
  <c r="G10" i="12"/>
  <c r="D11" i="12"/>
  <c r="F11" i="12" s="1"/>
  <c r="G11" i="12"/>
  <c r="D12" i="12"/>
  <c r="F12" i="12" s="1"/>
  <c r="G12" i="12"/>
  <c r="G18" i="12"/>
  <c r="D13" i="12"/>
  <c r="F13" i="12"/>
  <c r="G13" i="12"/>
  <c r="G19" i="12"/>
  <c r="D14" i="12"/>
  <c r="F14" i="12"/>
  <c r="G14" i="12"/>
  <c r="D15" i="12"/>
  <c r="F15" i="12" s="1"/>
  <c r="G15" i="12"/>
  <c r="G16" i="12"/>
  <c r="G22" i="12" s="1"/>
  <c r="G17" i="12"/>
  <c r="G23" i="12" s="1"/>
  <c r="D19" i="12"/>
  <c r="F19" i="12" s="1"/>
  <c r="D20" i="12"/>
  <c r="F20" i="12"/>
  <c r="G20" i="12"/>
  <c r="G26" i="12"/>
  <c r="H26" i="12" s="1"/>
  <c r="G21" i="12"/>
  <c r="G27" i="12"/>
  <c r="H27" i="12" s="1"/>
  <c r="I40" i="12"/>
  <c r="I39" i="12"/>
  <c r="I38" i="12"/>
  <c r="I37" i="12"/>
  <c r="I36" i="12"/>
  <c r="I35" i="12"/>
  <c r="I34" i="12"/>
  <c r="I33" i="12"/>
  <c r="I32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7" i="12"/>
  <c r="I6" i="12"/>
  <c r="I5" i="12"/>
  <c r="I4" i="12"/>
  <c r="Z19" i="12"/>
  <c r="I3" i="12"/>
  <c r="Z20" i="12"/>
  <c r="Z21" i="12"/>
  <c r="Z22" i="12"/>
  <c r="Z23" i="12"/>
  <c r="Z18" i="12"/>
  <c r="A1" i="14"/>
  <c r="A2" i="14"/>
  <c r="A3" i="14"/>
  <c r="A5" i="14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O13" i="6"/>
  <c r="B47" i="14" s="1"/>
  <c r="A69" i="14"/>
  <c r="A70" i="14"/>
  <c r="A71" i="14"/>
  <c r="A72" i="14"/>
  <c r="N13" i="6"/>
  <c r="M10" i="6"/>
  <c r="B20" i="14" s="1"/>
  <c r="Q7" i="6"/>
  <c r="B65" i="14" s="1"/>
  <c r="Q6" i="6"/>
  <c r="B64" i="14" s="1"/>
  <c r="O6" i="6"/>
  <c r="B40" i="14" s="1"/>
  <c r="L6" i="6"/>
  <c r="B4" i="14" s="1"/>
  <c r="P4" i="6"/>
  <c r="N4" i="6"/>
  <c r="B26" i="14" s="1"/>
  <c r="M4" i="6"/>
  <c r="B14" i="14" s="1"/>
  <c r="L4" i="6"/>
  <c r="B2" i="14" s="1"/>
  <c r="B50" i="14"/>
  <c r="B29" i="15"/>
  <c r="AC27" i="12" s="1"/>
  <c r="B41" i="15"/>
  <c r="J3" i="17" s="1"/>
  <c r="B42" i="15"/>
  <c r="K9" i="16" s="1"/>
  <c r="B43" i="15"/>
  <c r="B44" i="15"/>
  <c r="K21" i="16" s="1"/>
  <c r="B45" i="15"/>
  <c r="B46" i="15"/>
  <c r="B47" i="15"/>
  <c r="B27" i="15"/>
  <c r="AC26" i="12" s="1"/>
  <c r="P4" i="12" s="1"/>
  <c r="P5" i="12" s="1"/>
  <c r="P6" i="12" s="1"/>
  <c r="P7" i="12" s="1"/>
  <c r="P8" i="12" s="1"/>
  <c r="P9" i="12" s="1"/>
  <c r="P10" i="12" s="1"/>
  <c r="P11" i="12" s="1"/>
  <c r="P12" i="12" s="1"/>
  <c r="P13" i="12" s="1"/>
  <c r="P14" i="12" s="1"/>
  <c r="P15" i="12" s="1"/>
  <c r="P16" i="12" s="1"/>
  <c r="P17" i="12" s="1"/>
  <c r="P18" i="12" s="1"/>
  <c r="P19" i="12" s="1"/>
  <c r="P20" i="12" s="1"/>
  <c r="P21" i="12" s="1"/>
  <c r="P22" i="12" s="1"/>
  <c r="P23" i="12" s="1"/>
  <c r="P24" i="12" s="1"/>
  <c r="P25" i="12" s="1"/>
  <c r="P26" i="12" s="1"/>
  <c r="P27" i="12" s="1"/>
  <c r="P28" i="12" s="1"/>
  <c r="P29" i="12" s="1"/>
  <c r="P30" i="12" s="1"/>
  <c r="P31" i="12" s="1"/>
  <c r="P32" i="12" s="1"/>
  <c r="P33" i="12" s="1"/>
  <c r="P34" i="12" s="1"/>
  <c r="P35" i="12" s="1"/>
  <c r="P36" i="12" s="1"/>
  <c r="P37" i="12" s="1"/>
  <c r="P38" i="12" s="1"/>
  <c r="P39" i="12" s="1"/>
  <c r="P40" i="12" s="1"/>
  <c r="B36" i="15"/>
  <c r="B35" i="15"/>
  <c r="B34" i="15"/>
  <c r="B33" i="15"/>
  <c r="B32" i="15"/>
  <c r="AB3" i="12"/>
  <c r="AC3" i="12" s="1"/>
  <c r="AB4" i="12"/>
  <c r="AC4" i="12" s="1"/>
  <c r="AB5" i="12"/>
  <c r="AC5" i="12" s="1"/>
  <c r="AB6" i="12"/>
  <c r="AC6" i="12" s="1"/>
  <c r="AB7" i="12"/>
  <c r="AC7" i="12" s="1"/>
  <c r="AB8" i="12"/>
  <c r="AC8" i="12" s="1"/>
  <c r="AB9" i="12"/>
  <c r="AC9" i="12" s="1"/>
  <c r="AB10" i="12"/>
  <c r="AC10" i="12" s="1"/>
  <c r="AB11" i="12"/>
  <c r="AC11" i="12" s="1"/>
  <c r="AB12" i="12"/>
  <c r="AC12" i="12" s="1"/>
  <c r="AB13" i="12"/>
  <c r="AC13" i="12" s="1"/>
  <c r="AB14" i="12"/>
  <c r="AC14" i="12" s="1"/>
  <c r="AD10" i="6"/>
  <c r="AC6" i="6"/>
  <c r="B35" i="14"/>
  <c r="M4" i="16"/>
  <c r="M6" i="16"/>
  <c r="M9" i="16"/>
  <c r="M13" i="16"/>
  <c r="M17" i="16"/>
  <c r="M21" i="16"/>
  <c r="M25" i="16"/>
  <c r="M29" i="16"/>
  <c r="M2" i="16"/>
  <c r="M8" i="16"/>
  <c r="M12" i="16"/>
  <c r="M16" i="16"/>
  <c r="M20" i="16"/>
  <c r="M26" i="16"/>
  <c r="M30" i="16"/>
  <c r="K25" i="16"/>
  <c r="K11" i="16"/>
  <c r="Q14" i="6"/>
  <c r="B72" i="14" s="1"/>
  <c r="L14" i="6"/>
  <c r="B12" i="14" s="1"/>
  <c r="P14" i="6"/>
  <c r="B60" i="14" s="1"/>
  <c r="N11" i="6"/>
  <c r="B33" i="14" s="1"/>
  <c r="Q4" i="6"/>
  <c r="B62" i="14" s="1"/>
  <c r="O4" i="6"/>
  <c r="B38" i="14" s="1"/>
  <c r="K30" i="16"/>
  <c r="K26" i="16"/>
  <c r="K24" i="16"/>
  <c r="K20" i="16"/>
  <c r="N20" i="16" s="1"/>
  <c r="O20" i="16" s="1"/>
  <c r="K18" i="16"/>
  <c r="K16" i="16"/>
  <c r="K14" i="16"/>
  <c r="K12" i="16"/>
  <c r="N12" i="16" s="1"/>
  <c r="O12" i="16" s="1"/>
  <c r="K8" i="16"/>
  <c r="K15" i="16"/>
  <c r="K17" i="16"/>
  <c r="K19" i="16"/>
  <c r="H4" i="12"/>
  <c r="H5" i="12"/>
  <c r="H6" i="12"/>
  <c r="H7" i="12"/>
  <c r="H8" i="12"/>
  <c r="K3" i="16"/>
  <c r="K4" i="16"/>
  <c r="K5" i="16"/>
  <c r="K6" i="16"/>
  <c r="N6" i="16" s="1"/>
  <c r="O6" i="16" s="1"/>
  <c r="K7" i="16"/>
  <c r="K2" i="16"/>
  <c r="L13" i="6"/>
  <c r="B11" i="14" s="1"/>
  <c r="P13" i="6"/>
  <c r="B59" i="14" s="1"/>
  <c r="O10" i="6"/>
  <c r="B44" i="14" s="1"/>
  <c r="Q10" i="6"/>
  <c r="B68" i="14" s="1"/>
  <c r="N10" i="6"/>
  <c r="B32" i="14" s="1"/>
  <c r="P10" i="6"/>
  <c r="B56" i="14" s="1"/>
  <c r="N5" i="6"/>
  <c r="B27" i="14" s="1"/>
  <c r="P6" i="6"/>
  <c r="B52" i="14" s="1"/>
  <c r="M6" i="6"/>
  <c r="B16" i="14" s="1"/>
  <c r="N6" i="6"/>
  <c r="B28" i="14" s="1"/>
  <c r="H21" i="12"/>
  <c r="H20" i="12"/>
  <c r="H17" i="12"/>
  <c r="H16" i="12"/>
  <c r="H15" i="12"/>
  <c r="H13" i="12"/>
  <c r="H11" i="12"/>
  <c r="H9" i="12"/>
  <c r="J31" i="16"/>
  <c r="K31" i="16" s="1"/>
  <c r="G32" i="12"/>
  <c r="G25" i="12"/>
  <c r="H25" i="12" s="1"/>
  <c r="H19" i="12"/>
  <c r="H18" i="12"/>
  <c r="G24" i="12"/>
  <c r="G30" i="12" s="1"/>
  <c r="H30" i="12" s="1"/>
  <c r="D26" i="12"/>
  <c r="D32" i="12" s="1"/>
  <c r="D25" i="12"/>
  <c r="F25" i="12" s="1"/>
  <c r="D21" i="12"/>
  <c r="F21" i="12" s="1"/>
  <c r="D18" i="12"/>
  <c r="F18" i="12" s="1"/>
  <c r="D17" i="12"/>
  <c r="G33" i="12"/>
  <c r="G39" i="12" s="1"/>
  <c r="H39" i="12" s="1"/>
  <c r="F17" i="12"/>
  <c r="D23" i="12"/>
  <c r="F23" i="12" s="1"/>
  <c r="G38" i="12"/>
  <c r="H38" i="12"/>
  <c r="H32" i="12"/>
  <c r="F26" i="12"/>
  <c r="G31" i="12"/>
  <c r="G37" i="12" s="1"/>
  <c r="H33" i="12"/>
  <c r="D24" i="12" l="1"/>
  <c r="K23" i="16"/>
  <c r="P41" i="12"/>
  <c r="D38" i="12"/>
  <c r="F38" i="12" s="1"/>
  <c r="F32" i="12"/>
  <c r="H31" i="12"/>
  <c r="H24" i="12"/>
  <c r="D27" i="12"/>
  <c r="D33" i="12" s="1"/>
  <c r="D29" i="12"/>
  <c r="D31" i="12"/>
  <c r="U27" i="12"/>
  <c r="U32" i="12"/>
  <c r="G21" i="17"/>
  <c r="H21" i="17" s="1"/>
  <c r="L5" i="6"/>
  <c r="B3" i="14" s="1"/>
  <c r="M13" i="6"/>
  <c r="B23" i="14" s="1"/>
  <c r="M7" i="6"/>
  <c r="B17" i="14" s="1"/>
  <c r="Q11" i="6"/>
  <c r="B69" i="14" s="1"/>
  <c r="O5" i="6"/>
  <c r="B39" i="14" s="1"/>
  <c r="O7" i="6"/>
  <c r="B41" i="14" s="1"/>
  <c r="Q13" i="6"/>
  <c r="B71" i="14" s="1"/>
  <c r="G20" i="17"/>
  <c r="U19" i="12"/>
  <c r="G19" i="17"/>
  <c r="H19" i="17" s="1"/>
  <c r="G27" i="17"/>
  <c r="U28" i="12"/>
  <c r="G28" i="17"/>
  <c r="H28" i="17" s="1"/>
  <c r="G30" i="17"/>
  <c r="U24" i="12"/>
  <c r="L10" i="6"/>
  <c r="B8" i="14" s="1"/>
  <c r="U23" i="12"/>
  <c r="U29" i="12"/>
  <c r="G18" i="17"/>
  <c r="G22" i="17"/>
  <c r="G24" i="17"/>
  <c r="H24" i="17" s="1"/>
  <c r="U20" i="12"/>
  <c r="U26" i="12"/>
  <c r="U30" i="12"/>
  <c r="G23" i="17"/>
  <c r="H23" i="17" s="1"/>
  <c r="U9" i="12"/>
  <c r="U4" i="12"/>
  <c r="U7" i="12"/>
  <c r="U10" i="12"/>
  <c r="G5" i="17"/>
  <c r="H5" i="17" s="1"/>
  <c r="U6" i="12"/>
  <c r="G3" i="17"/>
  <c r="G7" i="17"/>
  <c r="G11" i="17"/>
  <c r="H11" i="17" s="1"/>
  <c r="U12" i="12"/>
  <c r="G9" i="17"/>
  <c r="H9" i="17" s="1"/>
  <c r="G13" i="17"/>
  <c r="H13" i="17" s="1"/>
  <c r="U8" i="12"/>
  <c r="U14" i="12"/>
  <c r="G4" i="17"/>
  <c r="H4" i="17" s="1"/>
  <c r="G6" i="17"/>
  <c r="H6" i="17" s="1"/>
  <c r="G10" i="17"/>
  <c r="H10" i="17" s="1"/>
  <c r="G12" i="17"/>
  <c r="H12" i="17" s="1"/>
  <c r="U5" i="12"/>
  <c r="L9" i="6"/>
  <c r="B7" i="14" s="1"/>
  <c r="J3" i="6"/>
  <c r="M3" i="16"/>
  <c r="M15" i="16"/>
  <c r="N15" i="16" s="1"/>
  <c r="O15" i="16" s="1"/>
  <c r="M27" i="16"/>
  <c r="N27" i="16" s="1"/>
  <c r="O27" i="16" s="1"/>
  <c r="N21" i="16"/>
  <c r="O21" i="16" s="1"/>
  <c r="N9" i="16"/>
  <c r="O9" i="16" s="1"/>
  <c r="H37" i="12"/>
  <c r="U13" i="12"/>
  <c r="U25" i="12"/>
  <c r="H10" i="12"/>
  <c r="H12" i="12"/>
  <c r="H14" i="12"/>
  <c r="P11" i="6"/>
  <c r="B57" i="14" s="1"/>
  <c r="P5" i="6"/>
  <c r="B51" i="14" s="1"/>
  <c r="M5" i="6"/>
  <c r="B15" i="14" s="1"/>
  <c r="N3" i="16"/>
  <c r="O3" i="16" s="1"/>
  <c r="K10" i="16"/>
  <c r="K22" i="16"/>
  <c r="N26" i="16"/>
  <c r="O26" i="16" s="1"/>
  <c r="N30" i="16"/>
  <c r="O30" i="16" s="1"/>
  <c r="L7" i="6"/>
  <c r="B5" i="14" s="1"/>
  <c r="O11" i="6"/>
  <c r="B45" i="14" s="1"/>
  <c r="M14" i="6"/>
  <c r="B24" i="14" s="1"/>
  <c r="N14" i="6"/>
  <c r="B36" i="14" s="1"/>
  <c r="K13" i="16"/>
  <c r="N13" i="16" s="1"/>
  <c r="O13" i="16" s="1"/>
  <c r="M28" i="16"/>
  <c r="N28" i="16" s="1"/>
  <c r="O28" i="16" s="1"/>
  <c r="M24" i="16"/>
  <c r="M18" i="16"/>
  <c r="N18" i="16" s="1"/>
  <c r="O18" i="16" s="1"/>
  <c r="M14" i="16"/>
  <c r="N14" i="16" s="1"/>
  <c r="O14" i="16" s="1"/>
  <c r="M10" i="16"/>
  <c r="J3" i="12"/>
  <c r="M31" i="16"/>
  <c r="N31" i="16" s="1"/>
  <c r="O31" i="16" s="1"/>
  <c r="M23" i="16"/>
  <c r="N23" i="16" s="1"/>
  <c r="O23" i="16" s="1"/>
  <c r="M19" i="16"/>
  <c r="N19" i="16" s="1"/>
  <c r="O19" i="16" s="1"/>
  <c r="M11" i="16"/>
  <c r="N11" i="16" s="1"/>
  <c r="O11" i="16" s="1"/>
  <c r="M7" i="16"/>
  <c r="N7" i="16" s="1"/>
  <c r="O7" i="16" s="1"/>
  <c r="M5" i="16"/>
  <c r="N5" i="16" s="1"/>
  <c r="O5" i="16" s="1"/>
  <c r="M22" i="16"/>
  <c r="Q5" i="6"/>
  <c r="B63" i="14" s="1"/>
  <c r="N7" i="6"/>
  <c r="B29" i="14" s="1"/>
  <c r="P7" i="6"/>
  <c r="B53" i="14" s="1"/>
  <c r="L11" i="6"/>
  <c r="B9" i="14" s="1"/>
  <c r="M11" i="6"/>
  <c r="B21" i="14" s="1"/>
  <c r="U15" i="12"/>
  <c r="U11" i="12"/>
  <c r="U39" i="12"/>
  <c r="V39" i="12" s="1"/>
  <c r="U37" i="12"/>
  <c r="V37" i="12" s="1"/>
  <c r="U35" i="12"/>
  <c r="V35" i="12" s="1"/>
  <c r="U33" i="12"/>
  <c r="V33" i="12" s="1"/>
  <c r="U16" i="12"/>
  <c r="U17" i="12"/>
  <c r="U40" i="12"/>
  <c r="V40" i="12" s="1"/>
  <c r="U38" i="12"/>
  <c r="V38" i="12" s="1"/>
  <c r="U36" i="12"/>
  <c r="V36" i="12" s="1"/>
  <c r="U34" i="12"/>
  <c r="V34" i="12" s="1"/>
  <c r="AB15" i="12"/>
  <c r="H3" i="12"/>
  <c r="K3" i="12" s="1"/>
  <c r="X3" i="12" s="1"/>
  <c r="J31" i="17"/>
  <c r="J29" i="17"/>
  <c r="J27" i="17"/>
  <c r="J24" i="17"/>
  <c r="J22" i="17"/>
  <c r="J19" i="17"/>
  <c r="J17" i="17"/>
  <c r="J15" i="17"/>
  <c r="J12" i="17"/>
  <c r="J10" i="17"/>
  <c r="J2" i="17"/>
  <c r="J6" i="17"/>
  <c r="J4" i="17"/>
  <c r="L2" i="17"/>
  <c r="H15" i="17"/>
  <c r="H7" i="17"/>
  <c r="H3" i="17"/>
  <c r="H30" i="17"/>
  <c r="H26" i="17"/>
  <c r="H22" i="17"/>
  <c r="H20" i="17"/>
  <c r="H18" i="17"/>
  <c r="J8" i="17"/>
  <c r="J30" i="17"/>
  <c r="J28" i="17"/>
  <c r="J25" i="17"/>
  <c r="J23" i="17"/>
  <c r="J21" i="17"/>
  <c r="J18" i="17"/>
  <c r="J16" i="17"/>
  <c r="J13" i="17"/>
  <c r="J11" i="17"/>
  <c r="J9" i="17"/>
  <c r="J7" i="17"/>
  <c r="J5" i="17"/>
  <c r="H31" i="17"/>
  <c r="H27" i="17"/>
  <c r="H25" i="17"/>
  <c r="D4" i="17"/>
  <c r="O3" i="17"/>
  <c r="P3" i="17" s="1"/>
  <c r="L3" i="17"/>
  <c r="M3" i="17" s="1"/>
  <c r="O2" i="17"/>
  <c r="P2" i="17" s="1"/>
  <c r="I14" i="17"/>
  <c r="M2" i="17"/>
  <c r="Q9" i="6"/>
  <c r="B67" i="14" s="1"/>
  <c r="M9" i="6"/>
  <c r="B19" i="14" s="1"/>
  <c r="U18" i="12"/>
  <c r="N9" i="6"/>
  <c r="B31" i="14" s="1"/>
  <c r="P9" i="6"/>
  <c r="B55" i="14" s="1"/>
  <c r="Q3" i="6"/>
  <c r="B61" i="14" s="1"/>
  <c r="L3" i="6"/>
  <c r="B1" i="14" s="1"/>
  <c r="O3" i="6"/>
  <c r="B37" i="14" s="1"/>
  <c r="H22" i="12"/>
  <c r="G28" i="12"/>
  <c r="H28" i="12" s="1"/>
  <c r="G36" i="12"/>
  <c r="H36" i="12" s="1"/>
  <c r="P12" i="6"/>
  <c r="B58" i="14" s="1"/>
  <c r="O12" i="6"/>
  <c r="B46" i="14" s="1"/>
  <c r="U21" i="12"/>
  <c r="U22" i="12"/>
  <c r="M12" i="6"/>
  <c r="B22" i="14" s="1"/>
  <c r="P8" i="6"/>
  <c r="B54" i="14" s="1"/>
  <c r="L8" i="6"/>
  <c r="B6" i="14" s="1"/>
  <c r="Q8" i="6"/>
  <c r="B66" i="14" s="1"/>
  <c r="O8" i="6"/>
  <c r="B42" i="14" s="1"/>
  <c r="M8" i="6"/>
  <c r="B18" i="14" s="1"/>
  <c r="N8" i="6"/>
  <c r="B30" i="14" s="1"/>
  <c r="H23" i="12"/>
  <c r="G29" i="12"/>
  <c r="H29" i="12" s="1"/>
  <c r="N2" i="16"/>
  <c r="O2" i="16" s="1"/>
  <c r="N4" i="16"/>
  <c r="O4" i="16" s="1"/>
  <c r="N17" i="16"/>
  <c r="O17" i="16" s="1"/>
  <c r="N8" i="16"/>
  <c r="O8" i="16" s="1"/>
  <c r="N16" i="16"/>
  <c r="O16" i="16" s="1"/>
  <c r="N24" i="16"/>
  <c r="O24" i="16" s="1"/>
  <c r="N25" i="16"/>
  <c r="O25" i="16" s="1"/>
  <c r="AC15" i="12"/>
  <c r="U31" i="12"/>
  <c r="D16" i="12"/>
  <c r="F27" i="12"/>
  <c r="M3" i="12" l="1"/>
  <c r="P3" i="6"/>
  <c r="B49" i="14" s="1"/>
  <c r="T3" i="12"/>
  <c r="T41" i="12" s="1"/>
  <c r="D30" i="12"/>
  <c r="F24" i="12"/>
  <c r="D37" i="12"/>
  <c r="F37" i="12" s="1"/>
  <c r="F31" i="12"/>
  <c r="F33" i="12"/>
  <c r="D39" i="12"/>
  <c r="F39" i="12" s="1"/>
  <c r="D35" i="12"/>
  <c r="F35" i="12" s="1"/>
  <c r="F29" i="12"/>
  <c r="N3" i="17"/>
  <c r="D7" i="15"/>
  <c r="N3" i="6"/>
  <c r="B25" i="14" s="1"/>
  <c r="M3" i="6"/>
  <c r="B13" i="14" s="1"/>
  <c r="D4" i="15"/>
  <c r="G2" i="17"/>
  <c r="H2" i="17" s="1"/>
  <c r="N2" i="17" s="1"/>
  <c r="L4" i="12"/>
  <c r="O4" i="12" s="1"/>
  <c r="D2" i="15"/>
  <c r="Q12" i="6"/>
  <c r="B70" i="14" s="1"/>
  <c r="J15" i="6"/>
  <c r="N12" i="6"/>
  <c r="B34" i="14" s="1"/>
  <c r="L12" i="6"/>
  <c r="B10" i="14" s="1"/>
  <c r="O9" i="6"/>
  <c r="B43" i="14" s="1"/>
  <c r="D5" i="15"/>
  <c r="D6" i="15"/>
  <c r="N22" i="16"/>
  <c r="O22" i="16" s="1"/>
  <c r="N10" i="16"/>
  <c r="O10" i="16" s="1"/>
  <c r="J14" i="17"/>
  <c r="I20" i="17"/>
  <c r="D5" i="17"/>
  <c r="O4" i="17"/>
  <c r="P4" i="17" s="1"/>
  <c r="L4" i="17"/>
  <c r="M4" i="17" s="1"/>
  <c r="N4" i="17" s="1"/>
  <c r="G35" i="12"/>
  <c r="H35" i="12" s="1"/>
  <c r="G34" i="12"/>
  <c r="F16" i="12"/>
  <c r="D22" i="12"/>
  <c r="D28" i="12" s="1"/>
  <c r="D34" i="12" s="1"/>
  <c r="D36" i="12" l="1"/>
  <c r="F36" i="12" s="1"/>
  <c r="F30" i="12"/>
  <c r="U3" i="12"/>
  <c r="V3" i="12" s="1"/>
  <c r="J20" i="17"/>
  <c r="I26" i="17"/>
  <c r="J26" i="17" s="1"/>
  <c r="D6" i="17"/>
  <c r="L5" i="17"/>
  <c r="M5" i="17" s="1"/>
  <c r="N5" i="17" s="1"/>
  <c r="O5" i="17"/>
  <c r="P5" i="17" s="1"/>
  <c r="G40" i="12"/>
  <c r="H40" i="12" s="1"/>
  <c r="H34" i="12"/>
  <c r="F22" i="12"/>
  <c r="J4" i="12" l="1"/>
  <c r="N4" i="12"/>
  <c r="O6" i="17"/>
  <c r="P6" i="17" s="1"/>
  <c r="D7" i="17"/>
  <c r="L6" i="17"/>
  <c r="M6" i="17" s="1"/>
  <c r="N6" i="17" s="1"/>
  <c r="F28" i="12"/>
  <c r="K4" i="12" l="1"/>
  <c r="M4" i="12"/>
  <c r="L5" i="12" s="1"/>
  <c r="O5" i="12" s="1"/>
  <c r="D8" i="17"/>
  <c r="L7" i="17"/>
  <c r="M7" i="17" s="1"/>
  <c r="N7" i="17" s="1"/>
  <c r="O7" i="17"/>
  <c r="P7" i="17" s="1"/>
  <c r="D40" i="12"/>
  <c r="F40" i="12" s="1"/>
  <c r="F34" i="12"/>
  <c r="V4" i="12" l="1"/>
  <c r="X4" i="12"/>
  <c r="J5" i="12"/>
  <c r="N5" i="12"/>
  <c r="O8" i="17"/>
  <c r="P8" i="17" s="1"/>
  <c r="D9" i="17"/>
  <c r="L8" i="17"/>
  <c r="M8" i="17" s="1"/>
  <c r="N8" i="17" s="1"/>
  <c r="K5" i="12" l="1"/>
  <c r="M5" i="12"/>
  <c r="L6" i="12" s="1"/>
  <c r="X5" i="12"/>
  <c r="V5" i="12"/>
  <c r="D10" i="17"/>
  <c r="L9" i="17"/>
  <c r="M9" i="17" s="1"/>
  <c r="N9" i="17" s="1"/>
  <c r="O9" i="17"/>
  <c r="P9" i="17" s="1"/>
  <c r="N6" i="12" l="1"/>
  <c r="O6" i="12"/>
  <c r="J6" i="12"/>
  <c r="O10" i="17"/>
  <c r="P10" i="17" s="1"/>
  <c r="D11" i="17"/>
  <c r="L10" i="17"/>
  <c r="M10" i="17" s="1"/>
  <c r="N10" i="17" s="1"/>
  <c r="K6" i="12" l="1"/>
  <c r="M6" i="12"/>
  <c r="L7" i="12" s="1"/>
  <c r="O7" i="12" s="1"/>
  <c r="D12" i="17"/>
  <c r="L11" i="17"/>
  <c r="M11" i="17" s="1"/>
  <c r="N11" i="17" s="1"/>
  <c r="O11" i="17"/>
  <c r="P11" i="17" s="1"/>
  <c r="N7" i="12" l="1"/>
  <c r="J7" i="12"/>
  <c r="X6" i="12"/>
  <c r="V6" i="12"/>
  <c r="O12" i="17"/>
  <c r="P12" i="17" s="1"/>
  <c r="D13" i="17"/>
  <c r="L12" i="17"/>
  <c r="M12" i="17" s="1"/>
  <c r="N12" i="17" s="1"/>
  <c r="M7" i="12" l="1"/>
  <c r="L8" i="12" s="1"/>
  <c r="O8" i="12" s="1"/>
  <c r="K7" i="12"/>
  <c r="D14" i="17"/>
  <c r="L13" i="17"/>
  <c r="M13" i="17" s="1"/>
  <c r="N13" i="17" s="1"/>
  <c r="O13" i="17"/>
  <c r="P13" i="17" s="1"/>
  <c r="N8" i="12" l="1"/>
  <c r="J8" i="12"/>
  <c r="X7" i="12"/>
  <c r="V7" i="12"/>
  <c r="O14" i="17"/>
  <c r="P14" i="17" s="1"/>
  <c r="D15" i="17"/>
  <c r="L14" i="17"/>
  <c r="M14" i="17" s="1"/>
  <c r="N14" i="17" s="1"/>
  <c r="M8" i="12" l="1"/>
  <c r="L9" i="12" s="1"/>
  <c r="O9" i="12" s="1"/>
  <c r="K8" i="12"/>
  <c r="L15" i="17"/>
  <c r="M15" i="17" s="1"/>
  <c r="N15" i="17" s="1"/>
  <c r="O15" i="17"/>
  <c r="P15" i="17" s="1"/>
  <c r="N9" i="12" l="1"/>
  <c r="J9" i="12"/>
  <c r="V8" i="12"/>
  <c r="X8" i="12"/>
  <c r="O16" i="17"/>
  <c r="P16" i="17" s="1"/>
  <c r="L16" i="17"/>
  <c r="M16" i="17" s="1"/>
  <c r="N16" i="17" s="1"/>
  <c r="M9" i="12" l="1"/>
  <c r="L10" i="12" s="1"/>
  <c r="O10" i="12" s="1"/>
  <c r="K9" i="12"/>
  <c r="D18" i="17"/>
  <c r="L17" i="17"/>
  <c r="M17" i="17" s="1"/>
  <c r="N17" i="17" s="1"/>
  <c r="O17" i="17"/>
  <c r="P17" i="17" s="1"/>
  <c r="V9" i="12" l="1"/>
  <c r="X9" i="12"/>
  <c r="N10" i="12"/>
  <c r="C9" i="12"/>
  <c r="J10" i="12"/>
  <c r="O18" i="17"/>
  <c r="P18" i="17" s="1"/>
  <c r="D19" i="17"/>
  <c r="L18" i="17"/>
  <c r="M18" i="17" s="1"/>
  <c r="N18" i="17" s="1"/>
  <c r="M10" i="12" l="1"/>
  <c r="L11" i="12" s="1"/>
  <c r="O11" i="12" s="1"/>
  <c r="K10" i="12"/>
  <c r="D20" i="17"/>
  <c r="L19" i="17"/>
  <c r="M19" i="17" s="1"/>
  <c r="N19" i="17" s="1"/>
  <c r="O19" i="17"/>
  <c r="P19" i="17" s="1"/>
  <c r="J11" i="12" l="1"/>
  <c r="C10" i="12"/>
  <c r="N11" i="12"/>
  <c r="V10" i="12"/>
  <c r="X10" i="12"/>
  <c r="O20" i="17"/>
  <c r="P20" i="17" s="1"/>
  <c r="D21" i="17"/>
  <c r="L20" i="17"/>
  <c r="M20" i="17" s="1"/>
  <c r="N20" i="17" s="1"/>
  <c r="M11" i="12" l="1"/>
  <c r="L12" i="12" s="1"/>
  <c r="O12" i="12" s="1"/>
  <c r="K11" i="12"/>
  <c r="D22" i="17"/>
  <c r="L21" i="17"/>
  <c r="M21" i="17" s="1"/>
  <c r="N21" i="17" s="1"/>
  <c r="O21" i="17"/>
  <c r="P21" i="17" s="1"/>
  <c r="N12" i="12" l="1"/>
  <c r="J12" i="12"/>
  <c r="C11" i="12"/>
  <c r="X11" i="12"/>
  <c r="V11" i="12"/>
  <c r="O22" i="17"/>
  <c r="P22" i="17" s="1"/>
  <c r="D23" i="17"/>
  <c r="L22" i="17"/>
  <c r="M22" i="17" s="1"/>
  <c r="N22" i="17" s="1"/>
  <c r="M12" i="12" l="1"/>
  <c r="L13" i="12" s="1"/>
  <c r="O13" i="12" s="1"/>
  <c r="K12" i="12"/>
  <c r="D24" i="17"/>
  <c r="L23" i="17"/>
  <c r="M23" i="17" s="1"/>
  <c r="N23" i="17" s="1"/>
  <c r="O23" i="17"/>
  <c r="P23" i="17" s="1"/>
  <c r="C12" i="12" l="1"/>
  <c r="J13" i="12"/>
  <c r="N13" i="12"/>
  <c r="X12" i="12"/>
  <c r="V12" i="12"/>
  <c r="O24" i="17"/>
  <c r="P24" i="17" s="1"/>
  <c r="D25" i="17"/>
  <c r="L24" i="17"/>
  <c r="M24" i="17" s="1"/>
  <c r="N24" i="17" s="1"/>
  <c r="M13" i="12" l="1"/>
  <c r="L14" i="12" s="1"/>
  <c r="O14" i="12" s="1"/>
  <c r="K13" i="12"/>
  <c r="D26" i="17"/>
  <c r="L25" i="17"/>
  <c r="M25" i="17" s="1"/>
  <c r="N25" i="17" s="1"/>
  <c r="O25" i="17"/>
  <c r="P25" i="17" s="1"/>
  <c r="C13" i="12" l="1"/>
  <c r="N14" i="12"/>
  <c r="J14" i="12"/>
  <c r="V13" i="12"/>
  <c r="X13" i="12"/>
  <c r="O26" i="17"/>
  <c r="P26" i="17" s="1"/>
  <c r="D27" i="17"/>
  <c r="L26" i="17"/>
  <c r="M26" i="17" s="1"/>
  <c r="N26" i="17" s="1"/>
  <c r="E2" i="15" s="1"/>
  <c r="M14" i="12" l="1"/>
  <c r="L15" i="12" s="1"/>
  <c r="O15" i="12" s="1"/>
  <c r="K14" i="12"/>
  <c r="D28" i="17"/>
  <c r="L27" i="17"/>
  <c r="M27" i="17" s="1"/>
  <c r="N27" i="17" s="1"/>
  <c r="E5" i="15" s="1"/>
  <c r="O27" i="17"/>
  <c r="P27" i="17" s="1"/>
  <c r="N15" i="12" l="1"/>
  <c r="J15" i="12"/>
  <c r="C14" i="12"/>
  <c r="V14" i="12"/>
  <c r="X14" i="12"/>
  <c r="O28" i="17"/>
  <c r="P28" i="17" s="1"/>
  <c r="D29" i="17"/>
  <c r="L28" i="17"/>
  <c r="M28" i="17" s="1"/>
  <c r="N28" i="17" s="1"/>
  <c r="E4" i="15" s="1"/>
  <c r="M15" i="12" l="1"/>
  <c r="L16" i="12" s="1"/>
  <c r="O16" i="12" s="1"/>
  <c r="K15" i="12"/>
  <c r="D30" i="17"/>
  <c r="L29" i="17"/>
  <c r="M29" i="17" s="1"/>
  <c r="N29" i="17" s="1"/>
  <c r="O29" i="17"/>
  <c r="P29" i="17" s="1"/>
  <c r="N16" i="12" l="1"/>
  <c r="J16" i="12"/>
  <c r="C15" i="12"/>
  <c r="V15" i="12"/>
  <c r="X15" i="12"/>
  <c r="O30" i="17"/>
  <c r="P30" i="17" s="1"/>
  <c r="D31" i="17"/>
  <c r="L30" i="17"/>
  <c r="M30" i="17" s="1"/>
  <c r="N30" i="17" s="1"/>
  <c r="E7" i="15" s="1"/>
  <c r="M16" i="12" l="1"/>
  <c r="L17" i="12" s="1"/>
  <c r="O17" i="12" s="1"/>
  <c r="K16" i="12"/>
  <c r="O31" i="17"/>
  <c r="P31" i="17" s="1"/>
  <c r="L31" i="17"/>
  <c r="M31" i="17" s="1"/>
  <c r="N31" i="17" s="1"/>
  <c r="E6" i="15" s="1"/>
  <c r="C16" i="12" l="1"/>
  <c r="J17" i="12"/>
  <c r="N17" i="12"/>
  <c r="AB30" i="12" s="1"/>
  <c r="X16" i="12"/>
  <c r="V16" i="12"/>
  <c r="M17" i="12" l="1"/>
  <c r="L18" i="12" s="1"/>
  <c r="O18" i="12" s="1"/>
  <c r="K17" i="12"/>
  <c r="N18" i="12" l="1"/>
  <c r="J18" i="12"/>
  <c r="C17" i="12"/>
  <c r="X17" i="12"/>
  <c r="V17" i="12"/>
  <c r="M18" i="12" l="1"/>
  <c r="L19" i="12" s="1"/>
  <c r="O19" i="12" s="1"/>
  <c r="K18" i="12"/>
  <c r="C18" i="12" l="1"/>
  <c r="N19" i="12"/>
  <c r="J19" i="12"/>
  <c r="X18" i="12"/>
  <c r="V18" i="12"/>
  <c r="M19" i="12" l="1"/>
  <c r="L20" i="12" s="1"/>
  <c r="O20" i="12" s="1"/>
  <c r="K19" i="12"/>
  <c r="C19" i="12" l="1"/>
  <c r="J20" i="12"/>
  <c r="N20" i="12"/>
  <c r="V19" i="12"/>
  <c r="X19" i="12"/>
  <c r="M20" i="12" l="1"/>
  <c r="L21" i="12" s="1"/>
  <c r="O21" i="12" s="1"/>
  <c r="K20" i="12"/>
  <c r="J21" i="12" l="1"/>
  <c r="C20" i="12"/>
  <c r="N21" i="12"/>
  <c r="X20" i="12"/>
  <c r="V20" i="12"/>
  <c r="M21" i="12" l="1"/>
  <c r="L22" i="12" s="1"/>
  <c r="O22" i="12" s="1"/>
  <c r="K21" i="12"/>
  <c r="J22" i="12" l="1"/>
  <c r="C21" i="12"/>
  <c r="N22" i="12"/>
  <c r="V21" i="12"/>
  <c r="X21" i="12"/>
  <c r="M22" i="12" l="1"/>
  <c r="L23" i="12" s="1"/>
  <c r="O23" i="12" s="1"/>
  <c r="K22" i="12"/>
  <c r="N23" i="12" l="1"/>
  <c r="J23" i="12"/>
  <c r="C22" i="12"/>
  <c r="X22" i="12"/>
  <c r="V22" i="12"/>
  <c r="M23" i="12" l="1"/>
  <c r="L24" i="12" s="1"/>
  <c r="O24" i="12" s="1"/>
  <c r="K23" i="12"/>
  <c r="V24" i="12"/>
  <c r="J24" i="12" l="1"/>
  <c r="N24" i="12"/>
  <c r="C23" i="12"/>
  <c r="X23" i="12"/>
  <c r="V23" i="12"/>
  <c r="M24" i="12" l="1"/>
  <c r="L25" i="12" s="1"/>
  <c r="O25" i="12" s="1"/>
  <c r="K24" i="12"/>
  <c r="X24" i="12" s="1"/>
  <c r="C24" i="12" l="1"/>
  <c r="N25" i="12"/>
  <c r="J25" i="12"/>
  <c r="M25" i="12" l="1"/>
  <c r="L26" i="12" s="1"/>
  <c r="O26" i="12" s="1"/>
  <c r="K25" i="12"/>
  <c r="C25" i="12" l="1"/>
  <c r="J26" i="12"/>
  <c r="N26" i="12"/>
  <c r="V25" i="12"/>
  <c r="X25" i="12"/>
  <c r="M26" i="12" l="1"/>
  <c r="L27" i="12" s="1"/>
  <c r="O27" i="12" s="1"/>
  <c r="K26" i="12"/>
  <c r="N27" i="12" l="1"/>
  <c r="J27" i="12"/>
  <c r="C26" i="12"/>
  <c r="X26" i="12"/>
  <c r="V26" i="12"/>
  <c r="M27" i="12" l="1"/>
  <c r="L28" i="12" s="1"/>
  <c r="O28" i="12" s="1"/>
  <c r="K27" i="12"/>
  <c r="C27" i="12" l="1"/>
  <c r="J28" i="12"/>
  <c r="N28" i="12"/>
  <c r="X27" i="12"/>
  <c r="V27" i="12"/>
  <c r="M28" i="12" l="1"/>
  <c r="L29" i="12" s="1"/>
  <c r="O29" i="12" s="1"/>
  <c r="K28" i="12"/>
  <c r="C28" i="12" l="1"/>
  <c r="X28" i="12"/>
  <c r="V28" i="12"/>
  <c r="J29" i="12"/>
  <c r="M29" i="12" s="1"/>
  <c r="L30" i="12" s="1"/>
  <c r="O30" i="12" s="1"/>
  <c r="N29" i="12"/>
  <c r="K29" i="12" l="1"/>
  <c r="C29" i="12"/>
  <c r="X29" i="12"/>
  <c r="V29" i="12"/>
  <c r="N30" i="12" l="1"/>
  <c r="J30" i="12"/>
  <c r="M30" i="12" s="1"/>
  <c r="K30" i="12" l="1"/>
  <c r="L31" i="12"/>
  <c r="O31" i="12" s="1"/>
  <c r="X30" i="12" l="1"/>
  <c r="V30" i="12"/>
  <c r="C30" i="12"/>
  <c r="J31" i="12" l="1"/>
  <c r="M31" i="12" s="1"/>
  <c r="N31" i="12"/>
  <c r="K31" i="12" l="1"/>
  <c r="L32" i="12"/>
  <c r="O32" i="12" s="1"/>
  <c r="V31" i="12" l="1"/>
  <c r="X31" i="12"/>
  <c r="C31" i="12"/>
  <c r="J32" i="12" l="1"/>
  <c r="M32" i="12" s="1"/>
  <c r="N32" i="12"/>
  <c r="K32" i="12" l="1"/>
  <c r="L33" i="12" l="1"/>
  <c r="O33" i="12" s="1"/>
  <c r="V32" i="12"/>
  <c r="X32" i="12"/>
  <c r="J33" i="12" l="1"/>
  <c r="M33" i="12" s="1"/>
  <c r="C32" i="12"/>
  <c r="K33" i="12" l="1"/>
  <c r="X33" i="12" s="1"/>
  <c r="L34" i="12"/>
  <c r="O34" i="12" s="1"/>
  <c r="J34" i="12" l="1"/>
  <c r="M34" i="12" s="1"/>
  <c r="C33" i="12"/>
  <c r="K34" i="12" l="1"/>
  <c r="X34" i="12" s="1"/>
  <c r="L35" i="12"/>
  <c r="O35" i="12" s="1"/>
  <c r="J35" i="12" l="1"/>
  <c r="M35" i="12" s="1"/>
  <c r="C34" i="12"/>
  <c r="K35" i="12" l="1"/>
  <c r="X35" i="12" s="1"/>
  <c r="L36" i="12"/>
  <c r="O36" i="12" s="1"/>
  <c r="J36" i="12" l="1"/>
  <c r="M36" i="12" s="1"/>
  <c r="C35" i="12"/>
  <c r="K36" i="12" l="1"/>
  <c r="X36" i="12" s="1"/>
  <c r="L37" i="12"/>
  <c r="O37" i="12" s="1"/>
  <c r="J37" i="12" l="1"/>
  <c r="M37" i="12" s="1"/>
  <c r="C36" i="12"/>
  <c r="K37" i="12" l="1"/>
  <c r="X37" i="12" s="1"/>
  <c r="L38" i="12"/>
  <c r="O38" i="12" s="1"/>
  <c r="J38" i="12" l="1"/>
  <c r="M38" i="12" s="1"/>
  <c r="C37" i="12"/>
  <c r="L39" i="12" l="1"/>
  <c r="O39" i="12" s="1"/>
  <c r="K38" i="12"/>
  <c r="X38" i="12" s="1"/>
  <c r="J39" i="12" l="1"/>
  <c r="M39" i="12" s="1"/>
  <c r="L40" i="12" s="1"/>
  <c r="O40" i="12" s="1"/>
  <c r="C38" i="12"/>
  <c r="K39" i="12" l="1"/>
  <c r="X39" i="12" s="1"/>
  <c r="C39" i="12"/>
  <c r="J40" i="12"/>
  <c r="M40" i="12" s="1"/>
  <c r="L41" i="12" l="1"/>
  <c r="K40" i="12"/>
  <c r="X40" i="12" s="1"/>
  <c r="M41" i="12" l="1"/>
  <c r="C40" i="12"/>
  <c r="AG21" i="12" l="1"/>
  <c r="AF21" i="12" s="1"/>
  <c r="AG22" i="12"/>
  <c r="AF22" i="12" s="1"/>
  <c r="AG23" i="12"/>
  <c r="AF23" i="12" s="1"/>
  <c r="AG19" i="12"/>
  <c r="AF19" i="12" s="1"/>
  <c r="AG20" i="12"/>
  <c r="AF20" i="12" s="1"/>
  <c r="AG18" i="12"/>
  <c r="AF18" i="12" s="1"/>
  <c r="AD19" i="12"/>
  <c r="AC20" i="12"/>
  <c r="AD18" i="12"/>
  <c r="AD23" i="12"/>
  <c r="AC18" i="12"/>
  <c r="AC23" i="12"/>
  <c r="AD20" i="12"/>
  <c r="AD21" i="12"/>
  <c r="AC19" i="12"/>
  <c r="AD22" i="12"/>
  <c r="AC22" i="12"/>
  <c r="AC21" i="12"/>
  <c r="AE20" i="12" l="1"/>
  <c r="AC24" i="12"/>
  <c r="AE18" i="12"/>
  <c r="AE19" i="12"/>
  <c r="AE22" i="12"/>
  <c r="AE21" i="12"/>
  <c r="AE23" i="12"/>
</calcChain>
</file>

<file path=xl/sharedStrings.xml><?xml version="1.0" encoding="utf-8"?>
<sst xmlns="http://schemas.openxmlformats.org/spreadsheetml/2006/main" count="457" uniqueCount="137">
  <si>
    <t>Endzeit</t>
  </si>
  <si>
    <t>Dämmerungzeit</t>
  </si>
  <si>
    <t>Start Farsta</t>
  </si>
  <si>
    <t xml:space="preserve">Short Easy </t>
  </si>
  <si>
    <t>Short Difficult</t>
  </si>
  <si>
    <t>Long Easy</t>
  </si>
  <si>
    <t>Long Difficult</t>
  </si>
  <si>
    <t>Short Twilight</t>
  </si>
  <si>
    <t>Long Twilight</t>
  </si>
  <si>
    <t>Short Easy Night</t>
  </si>
  <si>
    <t>Short Difficult Night</t>
  </si>
  <si>
    <t>Long Easy Night</t>
  </si>
  <si>
    <t>Long Difficult Night</t>
  </si>
  <si>
    <t>Final Farsta</t>
  </si>
  <si>
    <t>SF</t>
  </si>
  <si>
    <t>SE</t>
  </si>
  <si>
    <t>SD</t>
  </si>
  <si>
    <t>LE</t>
  </si>
  <si>
    <t>LD</t>
  </si>
  <si>
    <t>ST</t>
  </si>
  <si>
    <t>LT</t>
  </si>
  <si>
    <t>SEN</t>
  </si>
  <si>
    <t>SDN</t>
  </si>
  <si>
    <t>LEN</t>
  </si>
  <si>
    <t>LDN</t>
  </si>
  <si>
    <t>FF</t>
  </si>
  <si>
    <t>Min h</t>
  </si>
  <si>
    <t>Max h</t>
  </si>
  <si>
    <t>A</t>
  </si>
  <si>
    <t>Ehrl, Lionel</t>
  </si>
  <si>
    <t>B</t>
  </si>
  <si>
    <t>Lexen, Gert</t>
  </si>
  <si>
    <t>C</t>
  </si>
  <si>
    <t>Baath, Veikko</t>
  </si>
  <si>
    <t>D</t>
  </si>
  <si>
    <t>E</t>
  </si>
  <si>
    <t>Lorenz-Baath, Katrin</t>
  </si>
  <si>
    <t>F</t>
  </si>
  <si>
    <t>Lieske, Johanna</t>
  </si>
  <si>
    <t>EL</t>
  </si>
  <si>
    <t>LG</t>
  </si>
  <si>
    <t>LJ</t>
  </si>
  <si>
    <t>BV</t>
  </si>
  <si>
    <t>CV</t>
  </si>
  <si>
    <t>LK</t>
  </si>
  <si>
    <t>Historical 2007</t>
  </si>
  <si>
    <t>#</t>
  </si>
  <si>
    <t>Type</t>
  </si>
  <si>
    <t>Läufer</t>
  </si>
  <si>
    <t>Bahn</t>
  </si>
  <si>
    <t>Schwierigkeit</t>
  </si>
  <si>
    <t>Differenz</t>
  </si>
  <si>
    <t>Code</t>
  </si>
  <si>
    <t>Start</t>
  </si>
  <si>
    <t>Laufzeit</t>
  </si>
  <si>
    <t>Actual</t>
  </si>
  <si>
    <t>Von</t>
  </si>
  <si>
    <t>Faktor</t>
  </si>
  <si>
    <t>Abs</t>
  </si>
  <si>
    <t>Startzeit</t>
  </si>
  <si>
    <t>Lauf</t>
  </si>
  <si>
    <t>Ermudungsgeschw.</t>
  </si>
  <si>
    <t>Dämmerung</t>
  </si>
  <si>
    <t>Pause</t>
  </si>
  <si>
    <t>Nacht</t>
  </si>
  <si>
    <t>Pos</t>
  </si>
  <si>
    <t>Name</t>
  </si>
  <si>
    <t>Zeit</t>
  </si>
  <si>
    <t>Speed</t>
  </si>
  <si>
    <t>SF4</t>
  </si>
  <si>
    <t>LD4</t>
  </si>
  <si>
    <t>LE3</t>
  </si>
  <si>
    <t>LEN3</t>
  </si>
  <si>
    <t>SDN1</t>
  </si>
  <si>
    <t>LDN3</t>
  </si>
  <si>
    <t>LE1</t>
  </si>
  <si>
    <t>LD1</t>
  </si>
  <si>
    <t>SD3</t>
  </si>
  <si>
    <t>LEN1</t>
  </si>
  <si>
    <t>LDN2</t>
  </si>
  <si>
    <t>LE2</t>
  </si>
  <si>
    <t>LE4</t>
  </si>
  <si>
    <t>LEN2</t>
  </si>
  <si>
    <t>LDN1</t>
  </si>
  <si>
    <t>SE3</t>
  </si>
  <si>
    <t>SE2</t>
  </si>
  <si>
    <t>SEN1</t>
  </si>
  <si>
    <t>SD2</t>
  </si>
  <si>
    <t>SE4</t>
  </si>
  <si>
    <t>SEN3</t>
  </si>
  <si>
    <t>SEN2</t>
  </si>
  <si>
    <t>SDN2</t>
  </si>
  <si>
    <t>Ehrl, Blandine</t>
  </si>
  <si>
    <t>SE1</t>
  </si>
  <si>
    <t>SD1</t>
  </si>
  <si>
    <t>SEN5</t>
  </si>
  <si>
    <t>SEN4</t>
  </si>
  <si>
    <t>SDN3</t>
  </si>
  <si>
    <t>Km</t>
  </si>
  <si>
    <t>Hm</t>
  </si>
  <si>
    <t>ClimbFaktor</t>
  </si>
  <si>
    <t>Run</t>
  </si>
  <si>
    <t>LKm</t>
  </si>
  <si>
    <t>Müde</t>
  </si>
  <si>
    <t>Total</t>
  </si>
  <si>
    <t>Lkm2009</t>
  </si>
  <si>
    <t>BahnKz</t>
  </si>
  <si>
    <t>Kz</t>
  </si>
  <si>
    <t>E / D</t>
  </si>
  <si>
    <t>Soll</t>
  </si>
  <si>
    <t>Faktoren</t>
  </si>
  <si>
    <t>min / LKm</t>
  </si>
  <si>
    <t>Zeiten</t>
  </si>
  <si>
    <t>IST-Werte</t>
  </si>
  <si>
    <t>Normiert</t>
  </si>
  <si>
    <t>NSpeed</t>
  </si>
  <si>
    <t>Runs</t>
  </si>
  <si>
    <t>SC</t>
  </si>
  <si>
    <t>Schneehage, Carsten</t>
  </si>
  <si>
    <t>Lexen, Johanna</t>
  </si>
  <si>
    <t>BK</t>
  </si>
  <si>
    <t>Historical 2009</t>
  </si>
  <si>
    <t>SF2</t>
  </si>
  <si>
    <t>Casanova, Valerio</t>
  </si>
  <si>
    <t>LD2</t>
  </si>
  <si>
    <t>SD4</t>
  </si>
  <si>
    <t>24h-Startzeit</t>
  </si>
  <si>
    <t>24h-Endzeit</t>
  </si>
  <si>
    <t>ST1</t>
  </si>
  <si>
    <t>LT1</t>
  </si>
  <si>
    <t>used</t>
  </si>
  <si>
    <t>LkmSpeed</t>
  </si>
  <si>
    <t>lkm</t>
  </si>
  <si>
    <t>Basis-Lkm</t>
  </si>
  <si>
    <t>Lmax</t>
  </si>
  <si>
    <t>Lmin</t>
  </si>
  <si>
    <r>
      <t xml:space="preserve">Ermüdungsfaktor
</t>
    </r>
    <r>
      <rPr>
        <b/>
        <sz val="6"/>
        <rFont val="Arial"/>
        <family val="2"/>
      </rPr>
      <t>(24h + (Lauf # - 1)*Erm_Geschw) / 24h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</si>
</sst>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[h]:mm:ss;@"/>
    <numFmt numFmtId="166" formatCode="[m]:ss;@"/>
    <numFmt numFmtId="167" formatCode="[$-F400]h:mm:ss\ AM/PM"/>
    <numFmt numFmtId="168" formatCode="h:mm:ss;@"/>
    <numFmt numFmtId="169" formatCode="[m]:ss;&quot;-&quot;\ [m]:ss;&quot;-&quot;\ [m]:ss;@"/>
  </numFmts>
  <fonts count="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6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0" fillId="0" borderId="1" xfId="0" applyBorder="1"/>
    <xf numFmtId="0" fontId="2" fillId="2" borderId="1" xfId="0" applyFont="1" applyFill="1" applyBorder="1"/>
    <xf numFmtId="0" fontId="3" fillId="2" borderId="1" xfId="0" applyFont="1" applyFill="1" applyBorder="1"/>
    <xf numFmtId="0" fontId="0" fillId="2" borderId="1" xfId="0" applyFill="1" applyBorder="1"/>
    <xf numFmtId="0" fontId="2" fillId="2" borderId="1" xfId="0" applyFont="1" applyFill="1" applyBorder="1" applyAlignment="1">
      <alignment wrapText="1"/>
    </xf>
    <xf numFmtId="0" fontId="0" fillId="2" borderId="0" xfId="0" applyFill="1"/>
    <xf numFmtId="21" fontId="0" fillId="2" borderId="1" xfId="0" applyNumberForma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21" fontId="3" fillId="2" borderId="1" xfId="0" applyNumberFormat="1" applyFont="1" applyFill="1" applyBorder="1" applyAlignment="1">
      <alignment wrapText="1"/>
    </xf>
    <xf numFmtId="46" fontId="2" fillId="2" borderId="1" xfId="0" applyNumberFormat="1" applyFont="1" applyFill="1" applyBorder="1"/>
    <xf numFmtId="21" fontId="0" fillId="2" borderId="0" xfId="0" applyNumberFormat="1" applyFill="1"/>
    <xf numFmtId="0" fontId="0" fillId="0" borderId="1" xfId="0" applyFill="1" applyBorder="1"/>
    <xf numFmtId="21" fontId="0" fillId="0" borderId="0" xfId="0" applyNumberFormat="1"/>
    <xf numFmtId="2" fontId="0" fillId="2" borderId="1" xfId="0" applyNumberFormat="1" applyFill="1" applyBorder="1"/>
    <xf numFmtId="21" fontId="3" fillId="0" borderId="1" xfId="0" applyNumberFormat="1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0" borderId="0" xfId="0" applyBorder="1"/>
    <xf numFmtId="165" fontId="0" fillId="0" borderId="0" xfId="0" applyNumberFormat="1" applyFill="1" applyAlignment="1">
      <alignment wrapText="1"/>
    </xf>
    <xf numFmtId="165" fontId="0" fillId="0" borderId="0" xfId="0" applyNumberFormat="1" applyFill="1"/>
    <xf numFmtId="0" fontId="2" fillId="0" borderId="0" xfId="0" applyFont="1"/>
    <xf numFmtId="0" fontId="2" fillId="0" borderId="2" xfId="0" applyFont="1" applyFill="1" applyBorder="1"/>
    <xf numFmtId="0" fontId="0" fillId="0" borderId="1" xfId="0" applyFill="1" applyBorder="1" applyAlignment="1">
      <alignment wrapText="1"/>
    </xf>
    <xf numFmtId="0" fontId="0" fillId="0" borderId="0" xfId="0" applyFill="1"/>
    <xf numFmtId="2" fontId="0" fillId="0" borderId="1" xfId="0" applyNumberFormat="1" applyFill="1" applyBorder="1" applyAlignment="1">
      <alignment wrapText="1"/>
    </xf>
    <xf numFmtId="21" fontId="3" fillId="0" borderId="0" xfId="0" applyNumberFormat="1" applyFont="1" applyFill="1" applyBorder="1" applyAlignment="1">
      <alignment wrapText="1"/>
    </xf>
    <xf numFmtId="2" fontId="2" fillId="0" borderId="1" xfId="0" applyNumberFormat="1" applyFont="1" applyFill="1" applyBorder="1"/>
    <xf numFmtId="2" fontId="0" fillId="0" borderId="1" xfId="0" applyNumberFormat="1" applyFill="1" applyBorder="1"/>
    <xf numFmtId="2" fontId="0" fillId="0" borderId="0" xfId="0" applyNumberFormat="1" applyFill="1"/>
    <xf numFmtId="166" fontId="2" fillId="0" borderId="1" xfId="0" applyNumberFormat="1" applyFont="1" applyFill="1" applyBorder="1" applyAlignment="1">
      <alignment horizontal="center"/>
    </xf>
    <xf numFmtId="166" fontId="0" fillId="0" borderId="1" xfId="0" applyNumberFormat="1" applyFill="1" applyBorder="1" applyAlignment="1">
      <alignment horizontal="center" wrapText="1"/>
    </xf>
    <xf numFmtId="166" fontId="0" fillId="0" borderId="0" xfId="0" applyNumberFormat="1" applyFill="1" applyAlignment="1">
      <alignment horizontal="center"/>
    </xf>
    <xf numFmtId="165" fontId="0" fillId="0" borderId="1" xfId="0" applyNumberFormat="1" applyFill="1" applyBorder="1" applyAlignment="1">
      <alignment wrapText="1"/>
    </xf>
    <xf numFmtId="165" fontId="0" fillId="3" borderId="1" xfId="0" applyNumberFormat="1" applyFill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166" fontId="3" fillId="2" borderId="1" xfId="0" applyNumberFormat="1" applyFont="1" applyFill="1" applyBorder="1" applyAlignment="1">
      <alignment wrapText="1"/>
    </xf>
    <xf numFmtId="167" fontId="0" fillId="0" borderId="1" xfId="0" applyNumberFormat="1" applyFill="1" applyBorder="1" applyAlignment="1">
      <alignment wrapText="1"/>
    </xf>
    <xf numFmtId="167" fontId="0" fillId="0" borderId="0" xfId="0" applyNumberFormat="1" applyFill="1"/>
    <xf numFmtId="1" fontId="0" fillId="3" borderId="1" xfId="0" applyNumberFormat="1" applyFill="1" applyBorder="1" applyAlignment="1">
      <alignment wrapText="1"/>
    </xf>
    <xf numFmtId="1" fontId="0" fillId="0" borderId="0" xfId="0" applyNumberFormat="1" applyFill="1"/>
    <xf numFmtId="2" fontId="0" fillId="0" borderId="0" xfId="0" applyNumberFormat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21" fontId="0" fillId="3" borderId="1" xfId="0" applyNumberFormat="1" applyFill="1" applyBorder="1" applyAlignment="1">
      <alignment horizontal="center" wrapText="1"/>
    </xf>
    <xf numFmtId="21" fontId="3" fillId="3" borderId="1" xfId="0" applyNumberFormat="1" applyFont="1" applyFill="1" applyBorder="1" applyAlignment="1">
      <alignment horizontal="center" wrapText="1"/>
    </xf>
    <xf numFmtId="165" fontId="3" fillId="0" borderId="1" xfId="0" applyNumberFormat="1" applyFont="1" applyFill="1" applyBorder="1"/>
    <xf numFmtId="1" fontId="3" fillId="0" borderId="1" xfId="0" applyNumberFormat="1" applyFont="1" applyFill="1" applyBorder="1"/>
    <xf numFmtId="0" fontId="0" fillId="0" borderId="1" xfId="0" applyNumberFormat="1" applyBorder="1"/>
    <xf numFmtId="0" fontId="2" fillId="0" borderId="0" xfId="0" applyFont="1" applyFill="1" applyAlignment="1">
      <alignment horizontal="center"/>
    </xf>
    <xf numFmtId="165" fontId="2" fillId="0" borderId="0" xfId="0" applyNumberFormat="1" applyFont="1" applyFill="1"/>
    <xf numFmtId="164" fontId="3" fillId="0" borderId="1" xfId="0" applyNumberFormat="1" applyFont="1" applyFill="1" applyBorder="1"/>
    <xf numFmtId="164" fontId="0" fillId="3" borderId="1" xfId="0" applyNumberFormat="1" applyFill="1" applyBorder="1" applyAlignment="1">
      <alignment wrapText="1"/>
    </xf>
    <xf numFmtId="0" fontId="2" fillId="2" borderId="1" xfId="0" quotePrefix="1" applyFont="1" applyFill="1" applyBorder="1"/>
    <xf numFmtId="0" fontId="0" fillId="2" borderId="1" xfId="0" applyFill="1" applyBorder="1" applyAlignment="1">
      <alignment horizontal="center"/>
    </xf>
    <xf numFmtId="2" fontId="0" fillId="0" borderId="0" xfId="0" applyNumberFormat="1"/>
    <xf numFmtId="0" fontId="0" fillId="4" borderId="0" xfId="0" applyFill="1"/>
    <xf numFmtId="0" fontId="0" fillId="4" borderId="1" xfId="0" applyFill="1" applyBorder="1" applyAlignment="1">
      <alignment horizontal="center" wrapText="1"/>
    </xf>
    <xf numFmtId="2" fontId="0" fillId="4" borderId="1" xfId="0" applyNumberFormat="1" applyFill="1" applyBorder="1" applyAlignment="1">
      <alignment wrapText="1"/>
    </xf>
    <xf numFmtId="0" fontId="0" fillId="3" borderId="0" xfId="0" applyFill="1"/>
    <xf numFmtId="0" fontId="0" fillId="3" borderId="1" xfId="0" applyFill="1" applyBorder="1" applyAlignment="1">
      <alignment horizontal="center" wrapText="1"/>
    </xf>
    <xf numFmtId="2" fontId="0" fillId="3" borderId="1" xfId="0" applyNumberFormat="1" applyFill="1" applyBorder="1" applyAlignment="1">
      <alignment wrapText="1"/>
    </xf>
    <xf numFmtId="0" fontId="0" fillId="5" borderId="0" xfId="0" applyFill="1"/>
    <xf numFmtId="0" fontId="0" fillId="5" borderId="1" xfId="0" applyFill="1" applyBorder="1" applyAlignment="1">
      <alignment horizontal="center" wrapText="1"/>
    </xf>
    <xf numFmtId="2" fontId="0" fillId="5" borderId="1" xfId="0" applyNumberFormat="1" applyFill="1" applyBorder="1" applyAlignment="1">
      <alignment wrapText="1"/>
    </xf>
    <xf numFmtId="0" fontId="0" fillId="6" borderId="0" xfId="0" applyFill="1"/>
    <xf numFmtId="0" fontId="0" fillId="6" borderId="1" xfId="0" applyFill="1" applyBorder="1" applyAlignment="1">
      <alignment horizontal="center" wrapText="1"/>
    </xf>
    <xf numFmtId="2" fontId="0" fillId="6" borderId="1" xfId="0" applyNumberFormat="1" applyFill="1" applyBorder="1" applyAlignment="1">
      <alignment wrapText="1"/>
    </xf>
    <xf numFmtId="0" fontId="0" fillId="7" borderId="0" xfId="0" applyFill="1"/>
    <xf numFmtId="0" fontId="0" fillId="7" borderId="1" xfId="0" applyFill="1" applyBorder="1" applyAlignment="1">
      <alignment horizontal="center" wrapText="1"/>
    </xf>
    <xf numFmtId="2" fontId="0" fillId="7" borderId="1" xfId="0" applyNumberFormat="1" applyFill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 applyAlignment="1">
      <alignment horizontal="center"/>
    </xf>
    <xf numFmtId="0" fontId="2" fillId="0" borderId="1" xfId="0" quotePrefix="1" applyFont="1" applyBorder="1"/>
    <xf numFmtId="0" fontId="0" fillId="4" borderId="1" xfId="0" applyFill="1" applyBorder="1"/>
    <xf numFmtId="21" fontId="0" fillId="4" borderId="1" xfId="0" applyNumberFormat="1" applyFill="1" applyBorder="1"/>
    <xf numFmtId="2" fontId="0" fillId="4" borderId="1" xfId="0" applyNumberFormat="1" applyFill="1" applyBorder="1" applyAlignment="1">
      <alignment horizontal="center"/>
    </xf>
    <xf numFmtId="20" fontId="0" fillId="4" borderId="1" xfId="0" applyNumberFormat="1" applyFill="1" applyBorder="1"/>
    <xf numFmtId="2" fontId="0" fillId="4" borderId="1" xfId="0" applyNumberFormat="1" applyFill="1" applyBorder="1"/>
    <xf numFmtId="0" fontId="0" fillId="3" borderId="1" xfId="0" applyFill="1" applyBorder="1"/>
    <xf numFmtId="21" fontId="0" fillId="3" borderId="1" xfId="0" applyNumberFormat="1" applyFill="1" applyBorder="1"/>
    <xf numFmtId="2" fontId="0" fillId="3" borderId="1" xfId="0" applyNumberFormat="1" applyFill="1" applyBorder="1" applyAlignment="1">
      <alignment horizontal="center"/>
    </xf>
    <xf numFmtId="20" fontId="0" fillId="3" borderId="1" xfId="0" applyNumberFormat="1" applyFill="1" applyBorder="1"/>
    <xf numFmtId="2" fontId="0" fillId="3" borderId="1" xfId="0" applyNumberFormat="1" applyFill="1" applyBorder="1"/>
    <xf numFmtId="0" fontId="0" fillId="5" borderId="1" xfId="0" applyFill="1" applyBorder="1"/>
    <xf numFmtId="21" fontId="0" fillId="5" borderId="1" xfId="0" applyNumberFormat="1" applyFill="1" applyBorder="1"/>
    <xf numFmtId="2" fontId="0" fillId="5" borderId="1" xfId="0" applyNumberFormat="1" applyFill="1" applyBorder="1" applyAlignment="1">
      <alignment horizontal="center"/>
    </xf>
    <xf numFmtId="20" fontId="0" fillId="5" borderId="1" xfId="0" applyNumberFormat="1" applyFill="1" applyBorder="1"/>
    <xf numFmtId="2" fontId="0" fillId="5" borderId="1" xfId="0" applyNumberFormat="1" applyFill="1" applyBorder="1"/>
    <xf numFmtId="0" fontId="0" fillId="7" borderId="1" xfId="0" applyFill="1" applyBorder="1"/>
    <xf numFmtId="21" fontId="0" fillId="7" borderId="1" xfId="0" applyNumberFormat="1" applyFill="1" applyBorder="1"/>
    <xf numFmtId="2" fontId="0" fillId="7" borderId="1" xfId="0" applyNumberFormat="1" applyFill="1" applyBorder="1" applyAlignment="1">
      <alignment horizontal="center"/>
    </xf>
    <xf numFmtId="20" fontId="0" fillId="7" borderId="1" xfId="0" applyNumberFormat="1" applyFill="1" applyBorder="1"/>
    <xf numFmtId="2" fontId="0" fillId="7" borderId="1" xfId="0" applyNumberFormat="1" applyFill="1" applyBorder="1"/>
    <xf numFmtId="0" fontId="0" fillId="6" borderId="1" xfId="0" applyFill="1" applyBorder="1"/>
    <xf numFmtId="21" fontId="0" fillId="6" borderId="1" xfId="0" applyNumberFormat="1" applyFill="1" applyBorder="1"/>
    <xf numFmtId="2" fontId="0" fillId="6" borderId="1" xfId="0" applyNumberFormat="1" applyFill="1" applyBorder="1" applyAlignment="1">
      <alignment horizontal="center"/>
    </xf>
    <xf numFmtId="20" fontId="0" fillId="6" borderId="1" xfId="0" applyNumberFormat="1" applyFill="1" applyBorder="1"/>
    <xf numFmtId="2" fontId="0" fillId="6" borderId="1" xfId="0" applyNumberFormat="1" applyFill="1" applyBorder="1"/>
    <xf numFmtId="21" fontId="0" fillId="0" borderId="1" xfId="0" applyNumberFormat="1" applyBorder="1"/>
    <xf numFmtId="2" fontId="0" fillId="0" borderId="1" xfId="0" applyNumberFormat="1" applyBorder="1" applyAlignment="1">
      <alignment horizontal="center"/>
    </xf>
    <xf numFmtId="20" fontId="0" fillId="0" borderId="1" xfId="0" applyNumberFormat="1" applyBorder="1"/>
    <xf numFmtId="2" fontId="0" fillId="0" borderId="1" xfId="0" applyNumberFormat="1" applyBorder="1"/>
    <xf numFmtId="2" fontId="3" fillId="0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6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2" fontId="2" fillId="0" borderId="0" xfId="0" applyNumberFormat="1" applyFont="1"/>
    <xf numFmtId="0" fontId="0" fillId="0" borderId="5" xfId="0" applyBorder="1"/>
    <xf numFmtId="21" fontId="0" fillId="0" borderId="5" xfId="0" applyNumberFormat="1" applyBorder="1"/>
    <xf numFmtId="0" fontId="0" fillId="0" borderId="5" xfId="0" applyBorder="1" applyAlignment="1">
      <alignment horizontal="center"/>
    </xf>
    <xf numFmtId="2" fontId="0" fillId="0" borderId="5" xfId="0" applyNumberFormat="1" applyBorder="1"/>
    <xf numFmtId="2" fontId="2" fillId="0" borderId="5" xfId="0" applyNumberFormat="1" applyFont="1" applyBorder="1"/>
    <xf numFmtId="0" fontId="2" fillId="2" borderId="1" xfId="0" applyFont="1" applyFill="1" applyBorder="1" applyAlignment="1">
      <alignment horizontal="right"/>
    </xf>
    <xf numFmtId="2" fontId="2" fillId="0" borderId="1" xfId="0" applyNumberFormat="1" applyFont="1" applyFill="1" applyBorder="1" applyAlignment="1">
      <alignment wrapText="1"/>
    </xf>
    <xf numFmtId="0" fontId="2" fillId="0" borderId="1" xfId="0" applyFont="1" applyFill="1" applyBorder="1"/>
    <xf numFmtId="167" fontId="2" fillId="0" borderId="1" xfId="0" applyNumberFormat="1" applyFont="1" applyFill="1" applyBorder="1"/>
    <xf numFmtId="165" fontId="2" fillId="0" borderId="1" xfId="0" applyNumberFormat="1" applyFont="1" applyFill="1" applyBorder="1"/>
    <xf numFmtId="1" fontId="2" fillId="0" borderId="1" xfId="0" applyNumberFormat="1" applyFont="1" applyFill="1" applyBorder="1"/>
    <xf numFmtId="21" fontId="3" fillId="0" borderId="0" xfId="0" applyNumberFormat="1" applyFont="1" applyFill="1" applyBorder="1" applyAlignment="1">
      <alignment horizontal="center" wrapText="1"/>
    </xf>
    <xf numFmtId="21" fontId="0" fillId="0" borderId="0" xfId="0" applyNumberFormat="1" applyFill="1" applyBorder="1" applyAlignment="1">
      <alignment horizontal="center" wrapText="1"/>
    </xf>
    <xf numFmtId="0" fontId="0" fillId="2" borderId="6" xfId="0" applyFill="1" applyBorder="1"/>
    <xf numFmtId="0" fontId="2" fillId="8" borderId="1" xfId="0" applyFont="1" applyFill="1" applyBorder="1"/>
    <xf numFmtId="0" fontId="3" fillId="8" borderId="1" xfId="0" applyFont="1" applyFill="1" applyBorder="1"/>
    <xf numFmtId="0" fontId="2" fillId="9" borderId="1" xfId="0" applyFont="1" applyFill="1" applyBorder="1"/>
    <xf numFmtId="0" fontId="0" fillId="9" borderId="1" xfId="0" applyFill="1" applyBorder="1"/>
    <xf numFmtId="21" fontId="0" fillId="10" borderId="1" xfId="0" applyNumberFormat="1" applyFill="1" applyBorder="1" applyAlignment="1">
      <alignment wrapText="1"/>
    </xf>
    <xf numFmtId="166" fontId="2" fillId="0" borderId="1" xfId="0" applyNumberFormat="1" applyFont="1" applyFill="1" applyBorder="1" applyAlignment="1">
      <alignment horizontal="center"/>
    </xf>
    <xf numFmtId="168" fontId="2" fillId="0" borderId="5" xfId="0" applyNumberFormat="1" applyFont="1" applyFill="1" applyBorder="1" applyAlignment="1">
      <alignment horizontal="center"/>
    </xf>
    <xf numFmtId="168" fontId="2" fillId="0" borderId="1" xfId="0" applyNumberFormat="1" applyFont="1" applyFill="1" applyBorder="1"/>
    <xf numFmtId="168" fontId="0" fillId="3" borderId="1" xfId="0" applyNumberFormat="1" applyFill="1" applyBorder="1" applyAlignment="1">
      <alignment wrapText="1"/>
    </xf>
    <xf numFmtId="168" fontId="0" fillId="0" borderId="1" xfId="0" applyNumberFormat="1" applyFill="1" applyBorder="1" applyAlignment="1">
      <alignment wrapText="1"/>
    </xf>
    <xf numFmtId="168" fontId="0" fillId="0" borderId="0" xfId="0" applyNumberFormat="1" applyFill="1"/>
    <xf numFmtId="169" fontId="2" fillId="0" borderId="5" xfId="0" applyNumberFormat="1" applyFont="1" applyFill="1" applyBorder="1" applyAlignment="1">
      <alignment horizontal="right"/>
    </xf>
    <xf numFmtId="169" fontId="2" fillId="0" borderId="1" xfId="0" applyNumberFormat="1" applyFont="1" applyFill="1" applyBorder="1" applyAlignment="1">
      <alignment horizontal="right"/>
    </xf>
    <xf numFmtId="169" fontId="0" fillId="0" borderId="1" xfId="0" applyNumberFormat="1" applyFill="1" applyBorder="1" applyAlignment="1">
      <alignment horizontal="right" wrapText="1"/>
    </xf>
    <xf numFmtId="169" fontId="0" fillId="0" borderId="0" xfId="0" applyNumberFormat="1" applyFill="1" applyAlignment="1">
      <alignment horizontal="right"/>
    </xf>
    <xf numFmtId="2" fontId="2" fillId="0" borderId="1" xfId="0" applyNumberFormat="1" applyFont="1" applyFill="1" applyBorder="1" applyAlignment="1">
      <alignment horizontal="center"/>
    </xf>
    <xf numFmtId="166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5" fontId="2" fillId="0" borderId="3" xfId="0" applyNumberFormat="1" applyFont="1" applyFill="1" applyBorder="1" applyAlignment="1">
      <alignment horizontal="center"/>
    </xf>
    <xf numFmtId="165" fontId="2" fillId="0" borderId="4" xfId="0" applyNumberFormat="1" applyFont="1" applyFill="1" applyBorder="1" applyAlignment="1">
      <alignment horizontal="center"/>
    </xf>
    <xf numFmtId="165" fontId="2" fillId="0" borderId="2" xfId="0" applyNumberFormat="1" applyFont="1" applyFill="1" applyBorder="1" applyAlignment="1">
      <alignment horizontal="center"/>
    </xf>
    <xf numFmtId="167" fontId="2" fillId="0" borderId="7" xfId="0" applyNumberFormat="1" applyFont="1" applyFill="1" applyBorder="1" applyAlignment="1">
      <alignment horizontal="center"/>
    </xf>
    <xf numFmtId="167" fontId="2" fillId="0" borderId="5" xfId="0" applyNumberFormat="1" applyFont="1" applyFill="1" applyBorder="1" applyAlignment="1">
      <alignment horizontal="center"/>
    </xf>
    <xf numFmtId="167" fontId="2" fillId="0" borderId="8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</cellXfs>
  <cellStyles count="1">
    <cellStyle name="Standard" xfId="0" builtinId="0"/>
  </cellStyles>
  <dxfs count="6">
    <dxf>
      <fill>
        <patternFill>
          <bgColor indexed="45"/>
        </patternFill>
      </fill>
    </dxf>
    <dxf>
      <fill>
        <patternFill>
          <bgColor indexed="10"/>
        </patternFill>
      </fill>
    </dxf>
    <dxf>
      <fill>
        <patternFill>
          <bgColor rgb="FFFE8CF6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47"/>
        </patternFill>
      </fill>
    </dxf>
  </dxfs>
  <tableStyles count="0" defaultTableStyle="TableStyleMedium9" defaultPivotStyle="PivotStyleLight16"/>
  <colors>
    <mruColors>
      <color rgb="FFFE8CF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workbookViewId="0">
      <selection activeCell="B27" sqref="B27"/>
    </sheetView>
  </sheetViews>
  <sheetFormatPr baseColWidth="10" defaultColWidth="9.140625" defaultRowHeight="12.75" x14ac:dyDescent="0.2"/>
  <cols>
    <col min="1" max="1" width="18.85546875" bestFit="1" customWidth="1"/>
    <col min="2" max="2" width="16.42578125" bestFit="1" customWidth="1"/>
    <col min="3" max="3" width="6.7109375" bestFit="1" customWidth="1"/>
  </cols>
  <sheetData>
    <row r="1" spans="1:5" x14ac:dyDescent="0.2">
      <c r="A1" s="2" t="s">
        <v>48</v>
      </c>
      <c r="B1" s="2" t="s">
        <v>133</v>
      </c>
      <c r="C1" s="2">
        <v>2009</v>
      </c>
      <c r="D1" s="116" t="s">
        <v>132</v>
      </c>
      <c r="E1" s="116" t="s">
        <v>114</v>
      </c>
    </row>
    <row r="2" spans="1:5" x14ac:dyDescent="0.2">
      <c r="A2" s="3" t="s">
        <v>39</v>
      </c>
      <c r="B2" s="129">
        <v>4.5138888888888893E-3</v>
      </c>
      <c r="C2" s="122" t="s">
        <v>28</v>
      </c>
      <c r="D2" s="13" t="e">
        <f>SUMIF('2009'!$B:$B,$C2,'2009'!H:H)/5</f>
        <v>#REF!</v>
      </c>
      <c r="E2" s="13" t="e">
        <f>SUMIF('2009'!$B:$B,$C2,'2009'!N:N)/5</f>
        <v>#REF!</v>
      </c>
    </row>
    <row r="3" spans="1:5" x14ac:dyDescent="0.2">
      <c r="A3" s="3" t="s">
        <v>117</v>
      </c>
      <c r="B3" s="129">
        <v>5.0347222222222225E-3</v>
      </c>
      <c r="C3" s="123"/>
      <c r="D3" s="13">
        <f>SUMIF('2009'!$B:$B,$C3,'2009'!H:H)/5</f>
        <v>0</v>
      </c>
      <c r="E3" s="13">
        <f>SUMIF('2009'!$B:$B,$C3,'2009'!N:N)/5</f>
        <v>0</v>
      </c>
    </row>
    <row r="4" spans="1:5" x14ac:dyDescent="0.2">
      <c r="A4" s="3" t="s">
        <v>120</v>
      </c>
      <c r="B4" s="129">
        <v>5.208333333333333E-3</v>
      </c>
      <c r="C4" s="122" t="s">
        <v>32</v>
      </c>
      <c r="D4" s="13" t="e">
        <f>SUMIF('2009'!$B:$B,$C4,'2009'!H:H)/5</f>
        <v>#REF!</v>
      </c>
      <c r="E4" s="13" t="e">
        <f>SUMIF('2009'!$B:$B,$C4,'2009'!N:N)/5</f>
        <v>#REF!</v>
      </c>
    </row>
    <row r="5" spans="1:5" x14ac:dyDescent="0.2">
      <c r="A5" s="3" t="s">
        <v>40</v>
      </c>
      <c r="B5" s="129">
        <v>5.0347222222222225E-3</v>
      </c>
      <c r="C5" s="122" t="s">
        <v>30</v>
      </c>
      <c r="D5" s="13" t="e">
        <f>SUMIF('2009'!$B:$B,$C5,'2009'!H:H)/5</f>
        <v>#REF!</v>
      </c>
      <c r="E5" s="13" t="e">
        <f>SUMIF('2009'!$B:$B,$C5,'2009'!N:N)/5</f>
        <v>#REF!</v>
      </c>
    </row>
    <row r="6" spans="1:5" x14ac:dyDescent="0.2">
      <c r="A6" s="3" t="s">
        <v>42</v>
      </c>
      <c r="B6" s="129">
        <v>5.0347222222222225E-3</v>
      </c>
      <c r="C6" s="122" t="s">
        <v>37</v>
      </c>
      <c r="D6" s="13" t="e">
        <f>SUMIF('2009'!$B:$B,$C6,'2009'!H:H)/5</f>
        <v>#REF!</v>
      </c>
      <c r="E6" s="13" t="e">
        <f>SUMIF('2009'!$B:$B,$C6,'2009'!N:N)/5</f>
        <v>#REF!</v>
      </c>
    </row>
    <row r="7" spans="1:5" x14ac:dyDescent="0.2">
      <c r="A7" s="3" t="s">
        <v>41</v>
      </c>
      <c r="B7" s="129">
        <v>5.9027777777777776E-3</v>
      </c>
      <c r="C7" s="122" t="s">
        <v>35</v>
      </c>
      <c r="D7" s="13" t="e">
        <f>SUMIF('2009'!$B:$B,$C7,'2009'!H:H)/5</f>
        <v>#REF!</v>
      </c>
      <c r="E7" s="13" t="e">
        <f>SUMIF('2009'!$B:$B,$C7,'2009'!N:N)/5</f>
        <v>#REF!</v>
      </c>
    </row>
    <row r="9" spans="1:5" x14ac:dyDescent="0.2">
      <c r="A9" s="2" t="s">
        <v>49</v>
      </c>
      <c r="B9" s="2" t="s">
        <v>57</v>
      </c>
    </row>
    <row r="10" spans="1:5" x14ac:dyDescent="0.2">
      <c r="A10" s="3" t="s">
        <v>14</v>
      </c>
      <c r="B10" s="49">
        <v>1</v>
      </c>
    </row>
    <row r="11" spans="1:5" x14ac:dyDescent="0.2">
      <c r="A11" s="3" t="s">
        <v>15</v>
      </c>
      <c r="B11" s="49">
        <v>1</v>
      </c>
    </row>
    <row r="12" spans="1:5" x14ac:dyDescent="0.2">
      <c r="A12" s="3" t="s">
        <v>16</v>
      </c>
      <c r="B12" s="49">
        <v>1.1000000000000001</v>
      </c>
    </row>
    <row r="13" spans="1:5" x14ac:dyDescent="0.2">
      <c r="A13" s="3" t="s">
        <v>17</v>
      </c>
      <c r="B13" s="49">
        <v>1</v>
      </c>
    </row>
    <row r="14" spans="1:5" x14ac:dyDescent="0.2">
      <c r="A14" s="3" t="s">
        <v>18</v>
      </c>
      <c r="B14" s="49">
        <v>1.1000000000000001</v>
      </c>
    </row>
    <row r="15" spans="1:5" x14ac:dyDescent="0.2">
      <c r="A15" s="3" t="s">
        <v>19</v>
      </c>
      <c r="B15" s="49">
        <v>1</v>
      </c>
    </row>
    <row r="16" spans="1:5" x14ac:dyDescent="0.2">
      <c r="A16" s="3" t="s">
        <v>20</v>
      </c>
      <c r="B16" s="49">
        <v>1</v>
      </c>
    </row>
    <row r="17" spans="1:3" x14ac:dyDescent="0.2">
      <c r="A17" s="3" t="s">
        <v>21</v>
      </c>
      <c r="B17" s="49">
        <v>1</v>
      </c>
    </row>
    <row r="18" spans="1:3" x14ac:dyDescent="0.2">
      <c r="A18" s="3" t="s">
        <v>22</v>
      </c>
      <c r="B18" s="49">
        <v>1.1000000000000001</v>
      </c>
    </row>
    <row r="19" spans="1:3" x14ac:dyDescent="0.2">
      <c r="A19" s="3" t="s">
        <v>23</v>
      </c>
      <c r="B19" s="49">
        <v>1</v>
      </c>
    </row>
    <row r="20" spans="1:3" x14ac:dyDescent="0.2">
      <c r="A20" s="3" t="s">
        <v>24</v>
      </c>
      <c r="B20" s="49">
        <v>1.1000000000000001</v>
      </c>
    </row>
    <row r="21" spans="1:3" x14ac:dyDescent="0.2">
      <c r="A21" s="3" t="s">
        <v>25</v>
      </c>
      <c r="B21" s="49">
        <v>1</v>
      </c>
    </row>
    <row r="22" spans="1:3" x14ac:dyDescent="0.2">
      <c r="B22" s="17"/>
    </row>
    <row r="23" spans="1:3" x14ac:dyDescent="0.2">
      <c r="A23" s="3" t="s">
        <v>100</v>
      </c>
      <c r="B23" s="1">
        <v>8</v>
      </c>
    </row>
    <row r="25" spans="1:3" x14ac:dyDescent="0.2">
      <c r="A25" s="2" t="s">
        <v>59</v>
      </c>
      <c r="B25" s="9">
        <v>1.375</v>
      </c>
    </row>
    <row r="26" spans="1:3" x14ac:dyDescent="0.2">
      <c r="A26" s="2" t="s">
        <v>62</v>
      </c>
      <c r="B26" s="15">
        <v>0.47916666666666669</v>
      </c>
    </row>
    <row r="27" spans="1:3" x14ac:dyDescent="0.2">
      <c r="A27" s="2" t="s">
        <v>1</v>
      </c>
      <c r="B27" s="9">
        <f>B25+B26</f>
        <v>1.8541666666666667</v>
      </c>
    </row>
    <row r="28" spans="1:3" x14ac:dyDescent="0.2">
      <c r="A28" s="2" t="s">
        <v>54</v>
      </c>
      <c r="B28" s="9">
        <v>1</v>
      </c>
    </row>
    <row r="29" spans="1:3" x14ac:dyDescent="0.2">
      <c r="A29" s="2" t="s">
        <v>0</v>
      </c>
      <c r="B29" s="9">
        <f>B25+B28</f>
        <v>2.375</v>
      </c>
    </row>
    <row r="31" spans="1:3" x14ac:dyDescent="0.2">
      <c r="A31" s="2" t="s">
        <v>56</v>
      </c>
      <c r="B31" s="2" t="s">
        <v>58</v>
      </c>
      <c r="C31" s="2" t="s">
        <v>57</v>
      </c>
    </row>
    <row r="32" spans="1:3" x14ac:dyDescent="0.2">
      <c r="A32" s="7">
        <v>1.375</v>
      </c>
      <c r="B32" s="7">
        <f>A32-B$25</f>
        <v>0</v>
      </c>
      <c r="C32" s="1">
        <v>1</v>
      </c>
    </row>
    <row r="33" spans="1:3" x14ac:dyDescent="0.2">
      <c r="A33" s="7">
        <v>1.8333333333333335</v>
      </c>
      <c r="B33" s="7">
        <f>A33-B$25</f>
        <v>0.45833333333333348</v>
      </c>
      <c r="C33" s="1">
        <v>1.1000000000000001</v>
      </c>
    </row>
    <row r="34" spans="1:3" x14ac:dyDescent="0.2">
      <c r="A34" s="7">
        <v>1.8958333333333335</v>
      </c>
      <c r="B34" s="7">
        <f>A34-B$25</f>
        <v>0.52083333333333348</v>
      </c>
      <c r="C34" s="1">
        <v>1.2</v>
      </c>
    </row>
    <row r="35" spans="1:3" x14ac:dyDescent="0.2">
      <c r="A35" s="7">
        <v>2.1875</v>
      </c>
      <c r="B35" s="7">
        <f>A35-B$25</f>
        <v>0.8125</v>
      </c>
      <c r="C35" s="12">
        <v>1.1000000000000001</v>
      </c>
    </row>
    <row r="36" spans="1:3" x14ac:dyDescent="0.2">
      <c r="A36" s="7">
        <v>2.2291666666666665</v>
      </c>
      <c r="B36" s="7">
        <f>A36-B$25</f>
        <v>0.85416666666666652</v>
      </c>
      <c r="C36" s="12">
        <v>1</v>
      </c>
    </row>
    <row r="38" spans="1:3" x14ac:dyDescent="0.2">
      <c r="A38" s="2" t="s">
        <v>61</v>
      </c>
      <c r="B38" s="1">
        <v>1</v>
      </c>
    </row>
    <row r="40" spans="1:3" ht="30" x14ac:dyDescent="0.2">
      <c r="A40" s="2" t="s">
        <v>60</v>
      </c>
      <c r="B40" s="5" t="s">
        <v>136</v>
      </c>
    </row>
    <row r="41" spans="1:3" x14ac:dyDescent="0.2">
      <c r="A41" s="3">
        <v>1</v>
      </c>
      <c r="B41" s="14">
        <f>(24+(A41-1)*$B$38)/24</f>
        <v>1</v>
      </c>
    </row>
    <row r="42" spans="1:3" x14ac:dyDescent="0.2">
      <c r="A42" s="3">
        <v>2</v>
      </c>
      <c r="B42" s="14">
        <f t="shared" ref="B42:B47" si="0">(24+(A42-1)*$B$38)/24</f>
        <v>1.0416666666666667</v>
      </c>
    </row>
    <row r="43" spans="1:3" x14ac:dyDescent="0.2">
      <c r="A43" s="3">
        <v>3</v>
      </c>
      <c r="B43" s="14">
        <f t="shared" si="0"/>
        <v>1.0833333333333333</v>
      </c>
    </row>
    <row r="44" spans="1:3" x14ac:dyDescent="0.2">
      <c r="A44" s="3">
        <v>4</v>
      </c>
      <c r="B44" s="14">
        <f t="shared" si="0"/>
        <v>1.125</v>
      </c>
    </row>
    <row r="45" spans="1:3" x14ac:dyDescent="0.2">
      <c r="A45" s="3">
        <v>5</v>
      </c>
      <c r="B45" s="14">
        <f t="shared" si="0"/>
        <v>1.1666666666666667</v>
      </c>
    </row>
    <row r="46" spans="1:3" x14ac:dyDescent="0.2">
      <c r="A46" s="3">
        <v>6</v>
      </c>
      <c r="B46" s="14">
        <f t="shared" si="0"/>
        <v>1.2083333333333333</v>
      </c>
    </row>
    <row r="47" spans="1:3" x14ac:dyDescent="0.2">
      <c r="A47" s="3">
        <v>7</v>
      </c>
      <c r="B47" s="14">
        <f t="shared" si="0"/>
        <v>1.25</v>
      </c>
    </row>
  </sheetData>
  <phoneticPr fontId="1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1"/>
  <sheetViews>
    <sheetView tabSelected="1" zoomScale="90" zoomScaleNormal="9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X41" sqref="A1:X41"/>
    </sheetView>
  </sheetViews>
  <sheetFormatPr baseColWidth="10" defaultColWidth="9.140625" defaultRowHeight="12.75" x14ac:dyDescent="0.2"/>
  <cols>
    <col min="1" max="1" width="3" style="44" bestFit="1" customWidth="1"/>
    <col min="2" max="2" width="5.7109375" style="44" bestFit="1" customWidth="1"/>
    <col min="3" max="3" width="42" style="23" customWidth="1"/>
    <col min="4" max="4" width="5.140625" style="44" bestFit="1" customWidth="1"/>
    <col min="5" max="5" width="5.7109375" style="44" bestFit="1" customWidth="1"/>
    <col min="6" max="6" width="8" style="44" bestFit="1" customWidth="1"/>
    <col min="7" max="7" width="4.5703125" style="44" bestFit="1" customWidth="1"/>
    <col min="8" max="8" width="6" style="28" bestFit="1" customWidth="1"/>
    <col min="9" max="9" width="5.140625" style="28" bestFit="1" customWidth="1"/>
    <col min="10" max="10" width="6.140625" style="28" bestFit="1" customWidth="1"/>
    <col min="11" max="11" width="5.5703125" style="28" bestFit="1" customWidth="1"/>
    <col min="12" max="12" width="8.7109375" style="37" hidden="1" customWidth="1"/>
    <col min="13" max="13" width="8.7109375" style="19" hidden="1" customWidth="1"/>
    <col min="14" max="14" width="6.5703125" style="31" hidden="1" customWidth="1"/>
    <col min="15" max="15" width="9.140625" style="139" hidden="1" customWidth="1"/>
    <col min="16" max="16" width="8.7109375" style="135" bestFit="1" customWidth="1"/>
    <col min="17" max="17" width="8.7109375" style="19" bestFit="1" customWidth="1"/>
    <col min="18" max="18" width="4.5703125" style="28" bestFit="1" customWidth="1"/>
    <col min="19" max="19" width="4" style="39" bestFit="1" customWidth="1"/>
    <col min="20" max="20" width="9.140625" style="28" bestFit="1" customWidth="1"/>
    <col min="21" max="21" width="7.140625" style="31" customWidth="1"/>
    <col min="22" max="22" width="9" style="31" bestFit="1" customWidth="1"/>
    <col min="23" max="23" width="9" style="31" customWidth="1"/>
    <col min="24" max="24" width="6" style="31" bestFit="1" customWidth="1"/>
    <col min="25" max="25" width="1" style="19" customWidth="1"/>
    <col min="26" max="26" width="5.7109375" customWidth="1"/>
    <col min="27" max="27" width="2.140625" bestFit="1" customWidth="1"/>
    <col min="28" max="28" width="8.7109375" bestFit="1" customWidth="1"/>
    <col min="29" max="29" width="9.140625" bestFit="1" customWidth="1"/>
    <col min="30" max="30" width="6" bestFit="1" customWidth="1"/>
    <col min="31" max="31" width="6.85546875" bestFit="1" customWidth="1"/>
    <col min="32" max="32" width="8.140625" bestFit="1" customWidth="1"/>
    <col min="33" max="33" width="5.42578125" bestFit="1" customWidth="1"/>
  </cols>
  <sheetData>
    <row r="1" spans="1:29" s="20" customFormat="1" x14ac:dyDescent="0.2">
      <c r="A1" s="142" t="s">
        <v>48</v>
      </c>
      <c r="B1" s="142"/>
      <c r="C1" s="142"/>
      <c r="D1" s="142"/>
      <c r="E1" s="142" t="s">
        <v>49</v>
      </c>
      <c r="F1" s="142"/>
      <c r="G1" s="50"/>
      <c r="H1" s="140" t="s">
        <v>110</v>
      </c>
      <c r="I1" s="140"/>
      <c r="J1" s="140"/>
      <c r="K1" s="140"/>
      <c r="L1" s="146" t="s">
        <v>112</v>
      </c>
      <c r="M1" s="147"/>
      <c r="N1" s="148"/>
      <c r="O1" s="136"/>
      <c r="P1" s="131"/>
      <c r="Q1" s="143" t="s">
        <v>113</v>
      </c>
      <c r="R1" s="144"/>
      <c r="S1" s="144"/>
      <c r="T1" s="145"/>
      <c r="U1" s="141" t="s">
        <v>111</v>
      </c>
      <c r="V1" s="141"/>
      <c r="W1" s="141"/>
      <c r="X1" s="141"/>
      <c r="Y1" s="51"/>
    </row>
    <row r="2" spans="1:29" x14ac:dyDescent="0.2">
      <c r="A2" s="107" t="s">
        <v>46</v>
      </c>
      <c r="B2" s="107" t="s">
        <v>52</v>
      </c>
      <c r="C2" s="118" t="s">
        <v>48</v>
      </c>
      <c r="D2" s="107" t="s">
        <v>107</v>
      </c>
      <c r="E2" s="107" t="s">
        <v>49</v>
      </c>
      <c r="F2" s="107" t="s">
        <v>106</v>
      </c>
      <c r="G2" s="107" t="s">
        <v>101</v>
      </c>
      <c r="H2" s="26" t="s">
        <v>103</v>
      </c>
      <c r="I2" s="26" t="s">
        <v>108</v>
      </c>
      <c r="J2" s="26" t="s">
        <v>64</v>
      </c>
      <c r="K2" s="26" t="s">
        <v>104</v>
      </c>
      <c r="L2" s="119" t="s">
        <v>53</v>
      </c>
      <c r="M2" s="120" t="s">
        <v>54</v>
      </c>
      <c r="N2" s="106" t="s">
        <v>63</v>
      </c>
      <c r="O2" s="137" t="s">
        <v>51</v>
      </c>
      <c r="P2" s="132" t="s">
        <v>53</v>
      </c>
      <c r="Q2" s="120" t="s">
        <v>55</v>
      </c>
      <c r="R2" s="26" t="s">
        <v>98</v>
      </c>
      <c r="S2" s="121" t="s">
        <v>99</v>
      </c>
      <c r="T2" s="26" t="s">
        <v>102</v>
      </c>
      <c r="U2" s="106" t="s">
        <v>68</v>
      </c>
      <c r="V2" s="106" t="s">
        <v>114</v>
      </c>
      <c r="W2" s="130" t="s">
        <v>51</v>
      </c>
      <c r="X2" s="106" t="s">
        <v>109</v>
      </c>
      <c r="Y2" s="21"/>
      <c r="Z2" s="149" t="s">
        <v>49</v>
      </c>
      <c r="AA2" s="150"/>
      <c r="AB2" s="2" t="s">
        <v>130</v>
      </c>
      <c r="AC2" s="2" t="s">
        <v>51</v>
      </c>
    </row>
    <row r="3" spans="1:29" x14ac:dyDescent="0.2">
      <c r="A3" s="42">
        <v>1</v>
      </c>
      <c r="B3" s="42" t="s">
        <v>28</v>
      </c>
      <c r="C3" s="16" t="s">
        <v>29</v>
      </c>
      <c r="D3" s="42" t="s">
        <v>39</v>
      </c>
      <c r="E3" s="45" t="s">
        <v>14</v>
      </c>
      <c r="F3" s="42" t="str">
        <f t="shared" ref="F3:F34" si="0">E3&amp;D3</f>
        <v>SFEL</v>
      </c>
      <c r="G3" s="42">
        <v>1</v>
      </c>
      <c r="H3" s="24">
        <f t="shared" ref="H3:H40" si="1">VLOOKUP(G3,Erm,2,FALSE)</f>
        <v>1</v>
      </c>
      <c r="I3" s="24">
        <f t="shared" ref="I3:I40" si="2">VLOOKUP(E3,Schwierigkeit,2,FALSE)</f>
        <v>1</v>
      </c>
      <c r="J3" s="24">
        <f>VLOOKUP(L3-Parameters!$B$25,Zeit,2)</f>
        <v>1</v>
      </c>
      <c r="K3" s="117">
        <f t="shared" ref="K3:K39" si="3">H3*I3*J3</f>
        <v>1</v>
      </c>
      <c r="L3" s="36">
        <v>1.375</v>
      </c>
      <c r="M3" s="32">
        <f>VLOOKUP(F3,TimeBasis!A:B,2,FALSE)*J3*H3</f>
        <v>2.545833333333334E-2</v>
      </c>
      <c r="N3" s="30"/>
      <c r="O3" s="138">
        <f>ABS(P3-L3)</f>
        <v>0</v>
      </c>
      <c r="P3" s="133">
        <v>1.375</v>
      </c>
      <c r="Q3" s="33">
        <v>3.1527777777777773E-2</v>
      </c>
      <c r="R3" s="53"/>
      <c r="S3" s="38"/>
      <c r="T3" s="24">
        <f>IF(R3&gt;0,R3+S3*Climbfaktor/1000,VLOOKUP($E3,CoursesBasis!B$3:J$14,9,FALSE))</f>
        <v>5.6400000000000006</v>
      </c>
      <c r="U3" s="30">
        <f>IF(AND(Q3&gt;0,T3&gt;0),Q3/T3,"")</f>
        <v>5.5900315208825832E-3</v>
      </c>
      <c r="V3" s="30">
        <f t="shared" ref="V3:V40" si="4">IF(ISNUMBER(U3),U3/K3,"")</f>
        <v>5.5900315208825832E-3</v>
      </c>
      <c r="W3" s="30"/>
      <c r="X3" s="30">
        <f>VLOOKUP(D3,Parameters!A:B,2,FALSE)*K3</f>
        <v>4.5138888888888893E-3</v>
      </c>
      <c r="Y3" s="18"/>
      <c r="Z3" s="3" t="s">
        <v>14</v>
      </c>
      <c r="AA3" s="3">
        <f t="shared" ref="AA3:AA14" si="5">VLOOKUP(Z3,Courses,2,FALSE)</f>
        <v>1</v>
      </c>
      <c r="AB3" s="8">
        <f t="shared" ref="AB3:AB14" si="6">COUNTIF(E:E,Z3)</f>
        <v>1</v>
      </c>
      <c r="AC3" s="3">
        <f t="shared" ref="AC3:AC14" si="7">AB3-VLOOKUP(Z3,Courses,2,FALSE)</f>
        <v>0</v>
      </c>
    </row>
    <row r="4" spans="1:29" x14ac:dyDescent="0.2">
      <c r="A4" s="42">
        <v>2</v>
      </c>
      <c r="B4" s="42" t="s">
        <v>30</v>
      </c>
      <c r="C4" s="16" t="s">
        <v>118</v>
      </c>
      <c r="D4" s="42" t="s">
        <v>117</v>
      </c>
      <c r="E4" s="46" t="s">
        <v>17</v>
      </c>
      <c r="F4" s="42" t="str">
        <f t="shared" si="0"/>
        <v>LESC</v>
      </c>
      <c r="G4" s="42">
        <v>1</v>
      </c>
      <c r="H4" s="24">
        <f t="shared" si="1"/>
        <v>1</v>
      </c>
      <c r="I4" s="24">
        <f t="shared" si="2"/>
        <v>1</v>
      </c>
      <c r="J4" s="24">
        <f>VLOOKUP(L4-Parameters!$B$25,Zeit,2)</f>
        <v>1</v>
      </c>
      <c r="K4" s="117">
        <f t="shared" si="3"/>
        <v>1</v>
      </c>
      <c r="L4" s="36">
        <f t="shared" ref="L4:L41" si="8">IF(AND(UPPER(MID($E4,2,1))="T",L3+M3&lt;Twilight),Twilight,L3+M3)</f>
        <v>1.4004583333333334</v>
      </c>
      <c r="M4" s="32">
        <f>VLOOKUP(F4,TimeBasis!A:B,2,FALSE)*J4*H4</f>
        <v>3.9069444444444448E-2</v>
      </c>
      <c r="N4" s="30" t="str">
        <f t="shared" ref="N4:N32" si="9">IF(L4-M3-L3&gt;1/24/60/60,L4-M3-L3,"")</f>
        <v/>
      </c>
      <c r="O4" s="138">
        <f t="shared" ref="O4:O40" si="10">ABS(P4-L4)</f>
        <v>6.0694444444444606E-3</v>
      </c>
      <c r="P4" s="133">
        <f t="shared" ref="P4:P41" si="11">IF(AND(UPPER(MID($E4,2,1))="T",P3+Q3&lt;Twilight),Twilight,P3+Q3)</f>
        <v>1.4065277777777778</v>
      </c>
      <c r="Q4" s="33">
        <v>3.3564814814814818E-2</v>
      </c>
      <c r="R4" s="53"/>
      <c r="S4" s="38"/>
      <c r="T4" s="24">
        <f>IF(R4&gt;0,R4+S4*Climbfaktor/1000,VLOOKUP($E4,CoursesBasis!B$3:J$14,9,FALSE))</f>
        <v>7.76</v>
      </c>
      <c r="U4" s="30">
        <f>IF(AND(Q4&gt;0,T4&gt;0),Q4/T4,"")</f>
        <v>4.3253627338678893E-3</v>
      </c>
      <c r="V4" s="30">
        <f t="shared" si="4"/>
        <v>4.3253627338678893E-3</v>
      </c>
      <c r="W4" s="30"/>
      <c r="X4" s="30">
        <f>VLOOKUP(D4,Parameters!A:B,2,FALSE)*K4</f>
        <v>5.0347222222222225E-3</v>
      </c>
      <c r="Y4" s="18"/>
      <c r="Z4" s="3" t="s">
        <v>15</v>
      </c>
      <c r="AA4" s="3">
        <f t="shared" si="5"/>
        <v>4</v>
      </c>
      <c r="AB4" s="8">
        <f t="shared" si="6"/>
        <v>4</v>
      </c>
      <c r="AC4" s="3">
        <f t="shared" si="7"/>
        <v>0</v>
      </c>
    </row>
    <row r="5" spans="1:29" x14ac:dyDescent="0.2">
      <c r="A5" s="42">
        <v>3</v>
      </c>
      <c r="B5" s="42" t="s">
        <v>32</v>
      </c>
      <c r="C5" s="16" t="s">
        <v>36</v>
      </c>
      <c r="D5" s="42" t="s">
        <v>120</v>
      </c>
      <c r="E5" s="46" t="s">
        <v>15</v>
      </c>
      <c r="F5" s="42" t="str">
        <f t="shared" si="0"/>
        <v>SEBK</v>
      </c>
      <c r="G5" s="42">
        <v>1</v>
      </c>
      <c r="H5" s="24">
        <f t="shared" si="1"/>
        <v>1</v>
      </c>
      <c r="I5" s="24">
        <f t="shared" si="2"/>
        <v>1</v>
      </c>
      <c r="J5" s="24">
        <f>VLOOKUP(L5-Parameters!$B$25,Zeit,2)</f>
        <v>1</v>
      </c>
      <c r="K5" s="117">
        <f t="shared" si="3"/>
        <v>1</v>
      </c>
      <c r="L5" s="36">
        <f t="shared" si="8"/>
        <v>1.4395277777777777</v>
      </c>
      <c r="M5" s="32">
        <f>VLOOKUP(F5,TimeBasis!A:B,2,FALSE)*J5*H5</f>
        <v>2.5260416666666664E-2</v>
      </c>
      <c r="N5" s="30" t="str">
        <f t="shared" si="9"/>
        <v/>
      </c>
      <c r="O5" s="138">
        <f t="shared" si="10"/>
        <v>5.6481481481496232E-4</v>
      </c>
      <c r="P5" s="133">
        <f t="shared" si="11"/>
        <v>1.4400925925925927</v>
      </c>
      <c r="Q5" s="33">
        <v>2.4340277777777777E-2</v>
      </c>
      <c r="R5" s="53"/>
      <c r="S5" s="38"/>
      <c r="T5" s="24">
        <f>IF(R5&gt;0,R5+S5*Climbfaktor/1000,VLOOKUP($E5,CoursesBasis!B$3:J$14,9,FALSE))</f>
        <v>4.8499999999999996</v>
      </c>
      <c r="U5" s="30">
        <f t="shared" ref="U5:U40" si="12">IF(AND(Q5&gt;0,T5&gt;0),Q5/T5,"")</f>
        <v>5.0186139747995422E-3</v>
      </c>
      <c r="V5" s="30">
        <f t="shared" si="4"/>
        <v>5.0186139747995422E-3</v>
      </c>
      <c r="W5" s="30"/>
      <c r="X5" s="30">
        <f>VLOOKUP(D5,Parameters!A:B,2,FALSE)*K5</f>
        <v>5.208333333333333E-3</v>
      </c>
      <c r="Y5" s="18"/>
      <c r="Z5" s="3" t="s">
        <v>16</v>
      </c>
      <c r="AA5" s="3">
        <f t="shared" si="5"/>
        <v>4</v>
      </c>
      <c r="AB5" s="8">
        <f t="shared" si="6"/>
        <v>1</v>
      </c>
      <c r="AC5" s="3">
        <f t="shared" si="7"/>
        <v>-3</v>
      </c>
    </row>
    <row r="6" spans="1:29" x14ac:dyDescent="0.2">
      <c r="A6" s="42">
        <v>4</v>
      </c>
      <c r="B6" s="42" t="s">
        <v>34</v>
      </c>
      <c r="C6" s="16" t="s">
        <v>31</v>
      </c>
      <c r="D6" s="42" t="s">
        <v>40</v>
      </c>
      <c r="E6" s="46" t="s">
        <v>17</v>
      </c>
      <c r="F6" s="42" t="str">
        <f t="shared" si="0"/>
        <v>LELG</v>
      </c>
      <c r="G6" s="42">
        <v>1</v>
      </c>
      <c r="H6" s="24">
        <f t="shared" si="1"/>
        <v>1</v>
      </c>
      <c r="I6" s="24">
        <f t="shared" si="2"/>
        <v>1</v>
      </c>
      <c r="J6" s="24">
        <f>VLOOKUP(L6-Parameters!$B$25,Zeit,2)</f>
        <v>1</v>
      </c>
      <c r="K6" s="117">
        <f t="shared" si="3"/>
        <v>1</v>
      </c>
      <c r="L6" s="36">
        <f t="shared" si="8"/>
        <v>1.4647881944444443</v>
      </c>
      <c r="M6" s="32">
        <f>VLOOKUP(F6,TimeBasis!A:B,2,FALSE)*J6*H6</f>
        <v>3.9069444444444448E-2</v>
      </c>
      <c r="N6" s="30" t="str">
        <f t="shared" si="9"/>
        <v/>
      </c>
      <c r="O6" s="138">
        <f t="shared" si="10"/>
        <v>3.5532407407390387E-4</v>
      </c>
      <c r="P6" s="133">
        <f t="shared" si="11"/>
        <v>1.4644328703703704</v>
      </c>
      <c r="Q6" s="33">
        <v>3.7256944444444447E-2</v>
      </c>
      <c r="R6" s="53"/>
      <c r="S6" s="38"/>
      <c r="T6" s="24">
        <f>IF(R6&gt;0,R6+S6*Climbfaktor/1000,VLOOKUP($E6,CoursesBasis!B$3:J$14,9,FALSE))</f>
        <v>7.76</v>
      </c>
      <c r="U6" s="30">
        <f t="shared" si="12"/>
        <v>4.8011526345933565E-3</v>
      </c>
      <c r="V6" s="30">
        <f t="shared" si="4"/>
        <v>4.8011526345933565E-3</v>
      </c>
      <c r="W6" s="30"/>
      <c r="X6" s="30">
        <f>VLOOKUP(D6,Parameters!A:B,2,FALSE)*K6</f>
        <v>5.0347222222222225E-3</v>
      </c>
      <c r="Y6" s="18"/>
      <c r="Z6" s="3" t="s">
        <v>17</v>
      </c>
      <c r="AA6" s="3">
        <f t="shared" si="5"/>
        <v>4</v>
      </c>
      <c r="AB6" s="8">
        <f t="shared" si="6"/>
        <v>6</v>
      </c>
      <c r="AC6" s="3">
        <f t="shared" si="7"/>
        <v>2</v>
      </c>
    </row>
    <row r="7" spans="1:29" x14ac:dyDescent="0.2">
      <c r="A7" s="42">
        <v>5</v>
      </c>
      <c r="B7" s="42" t="s">
        <v>35</v>
      </c>
      <c r="C7" s="16" t="s">
        <v>33</v>
      </c>
      <c r="D7" s="42" t="s">
        <v>42</v>
      </c>
      <c r="E7" s="46" t="s">
        <v>17</v>
      </c>
      <c r="F7" s="42" t="str">
        <f t="shared" si="0"/>
        <v>LEBV</v>
      </c>
      <c r="G7" s="42">
        <v>1</v>
      </c>
      <c r="H7" s="24">
        <f t="shared" si="1"/>
        <v>1</v>
      </c>
      <c r="I7" s="24">
        <f t="shared" si="2"/>
        <v>1</v>
      </c>
      <c r="J7" s="24">
        <f>VLOOKUP(L7-Parameters!$B$25,Zeit,2)</f>
        <v>1</v>
      </c>
      <c r="K7" s="117">
        <f t="shared" si="3"/>
        <v>1</v>
      </c>
      <c r="L7" s="36">
        <f t="shared" si="8"/>
        <v>1.5038576388888887</v>
      </c>
      <c r="M7" s="32">
        <f>VLOOKUP(F7,TimeBasis!A:B,2,FALSE)*J7*H7</f>
        <v>3.9069444444444448E-2</v>
      </c>
      <c r="N7" s="30" t="str">
        <f t="shared" si="9"/>
        <v/>
      </c>
      <c r="O7" s="138">
        <f t="shared" si="10"/>
        <v>2.1678240740738985E-3</v>
      </c>
      <c r="P7" s="133">
        <f t="shared" si="11"/>
        <v>1.5016898148148148</v>
      </c>
      <c r="Q7" s="33">
        <v>4.3217592592592592E-2</v>
      </c>
      <c r="R7" s="53"/>
      <c r="S7" s="38"/>
      <c r="T7" s="24">
        <f>IF(R7&gt;0,R7+S7*Climbfaktor/1000,VLOOKUP($E7,CoursesBasis!B$3:J$14,9,FALSE))</f>
        <v>7.76</v>
      </c>
      <c r="U7" s="30">
        <f t="shared" si="12"/>
        <v>5.5692773959526536E-3</v>
      </c>
      <c r="V7" s="30">
        <f t="shared" si="4"/>
        <v>5.5692773959526536E-3</v>
      </c>
      <c r="W7" s="30"/>
      <c r="X7" s="30">
        <f>VLOOKUP(D7,Parameters!A:B,2,FALSE)*K7</f>
        <v>5.0347222222222225E-3</v>
      </c>
      <c r="Y7" s="18"/>
      <c r="Z7" s="3" t="s">
        <v>18</v>
      </c>
      <c r="AA7" s="3">
        <f t="shared" si="5"/>
        <v>3</v>
      </c>
      <c r="AB7" s="8">
        <f t="shared" si="6"/>
        <v>4</v>
      </c>
      <c r="AC7" s="3">
        <f t="shared" si="7"/>
        <v>1</v>
      </c>
    </row>
    <row r="8" spans="1:29" x14ac:dyDescent="0.2">
      <c r="A8" s="42">
        <v>6</v>
      </c>
      <c r="B8" s="42" t="s">
        <v>37</v>
      </c>
      <c r="C8" s="16" t="s">
        <v>119</v>
      </c>
      <c r="D8" s="42" t="s">
        <v>41</v>
      </c>
      <c r="E8" s="46" t="s">
        <v>15</v>
      </c>
      <c r="F8" s="42" t="str">
        <f t="shared" si="0"/>
        <v>SELJ</v>
      </c>
      <c r="G8" s="42">
        <v>1</v>
      </c>
      <c r="H8" s="24">
        <f t="shared" si="1"/>
        <v>1</v>
      </c>
      <c r="I8" s="24">
        <f t="shared" si="2"/>
        <v>1</v>
      </c>
      <c r="J8" s="24">
        <f>VLOOKUP(L8-Parameters!$B$25,Zeit,2)</f>
        <v>1</v>
      </c>
      <c r="K8" s="117">
        <f t="shared" si="3"/>
        <v>1</v>
      </c>
      <c r="L8" s="36">
        <f t="shared" si="8"/>
        <v>1.5429270833333331</v>
      </c>
      <c r="M8" s="32">
        <f>VLOOKUP(F8,TimeBasis!A:B,2,FALSE)*J8*H8</f>
        <v>2.8628472222222218E-2</v>
      </c>
      <c r="N8" s="30" t="str">
        <f t="shared" si="9"/>
        <v/>
      </c>
      <c r="O8" s="138">
        <f t="shared" si="10"/>
        <v>1.9803240740743355E-3</v>
      </c>
      <c r="P8" s="133">
        <f t="shared" si="11"/>
        <v>1.5449074074074074</v>
      </c>
      <c r="Q8" s="33">
        <v>3.363425925925926E-2</v>
      </c>
      <c r="R8" s="53"/>
      <c r="S8" s="38"/>
      <c r="T8" s="24">
        <f>IF(R8&gt;0,R8+S8*Climbfaktor/1000,VLOOKUP($E8,CoursesBasis!B$3:J$14,9,FALSE))</f>
        <v>4.8499999999999996</v>
      </c>
      <c r="U8" s="30">
        <f t="shared" si="12"/>
        <v>6.9348988163421155E-3</v>
      </c>
      <c r="V8" s="30">
        <f t="shared" si="4"/>
        <v>6.9348988163421155E-3</v>
      </c>
      <c r="W8" s="30"/>
      <c r="X8" s="30">
        <f>VLOOKUP(D8,Parameters!A:B,2,FALSE)*K8</f>
        <v>5.9027777777777776E-3</v>
      </c>
      <c r="Y8" s="18"/>
      <c r="Z8" s="3" t="s">
        <v>19</v>
      </c>
      <c r="AA8" s="3">
        <f t="shared" si="5"/>
        <v>1</v>
      </c>
      <c r="AB8" s="8">
        <f t="shared" si="6"/>
        <v>1</v>
      </c>
      <c r="AC8" s="3">
        <f t="shared" si="7"/>
        <v>0</v>
      </c>
    </row>
    <row r="9" spans="1:29" x14ac:dyDescent="0.2">
      <c r="A9" s="42">
        <v>7</v>
      </c>
      <c r="B9" s="42" t="s">
        <v>28</v>
      </c>
      <c r="C9" s="22" t="str">
        <f>C$3&amp; IF($L10&gt;Endzeit," - nach Zielschluß","")</f>
        <v>Ehrl, Lionel</v>
      </c>
      <c r="D9" s="42" t="str">
        <f>D3</f>
        <v>EL</v>
      </c>
      <c r="E9" s="46" t="s">
        <v>18</v>
      </c>
      <c r="F9" s="42" t="str">
        <f t="shared" si="0"/>
        <v>LDEL</v>
      </c>
      <c r="G9" s="42">
        <f t="shared" ref="G9:G40" si="13">G3+1</f>
        <v>2</v>
      </c>
      <c r="H9" s="24">
        <f t="shared" si="1"/>
        <v>1.0416666666666667</v>
      </c>
      <c r="I9" s="24">
        <f t="shared" si="2"/>
        <v>1.1000000000000001</v>
      </c>
      <c r="J9" s="24">
        <f>VLOOKUP(L9-Parameters!$B$25,Zeit,2)</f>
        <v>1</v>
      </c>
      <c r="K9" s="117">
        <f t="shared" si="3"/>
        <v>1.1458333333333335</v>
      </c>
      <c r="L9" s="36">
        <f t="shared" si="8"/>
        <v>1.5715555555555554</v>
      </c>
      <c r="M9" s="32">
        <f>VLOOKUP(F9,TimeBasis!A:B,2,FALSE)*J9*H9</f>
        <v>4.9239004629629636E-2</v>
      </c>
      <c r="N9" s="30" t="str">
        <f t="shared" si="9"/>
        <v/>
      </c>
      <c r="O9" s="138">
        <f t="shared" si="10"/>
        <v>6.9861111111113594E-3</v>
      </c>
      <c r="P9" s="133">
        <f t="shared" si="11"/>
        <v>1.5785416666666667</v>
      </c>
      <c r="Q9" s="33">
        <v>3.4062500000000002E-2</v>
      </c>
      <c r="R9" s="53"/>
      <c r="S9" s="38"/>
      <c r="T9" s="24">
        <f>IF(R9&gt;0,R9+S9*Climbfaktor/1000,VLOOKUP($E9,CoursesBasis!B$3:J$14,9,FALSE))</f>
        <v>9.52</v>
      </c>
      <c r="U9" s="30">
        <f t="shared" si="12"/>
        <v>3.5779936974789919E-3</v>
      </c>
      <c r="V9" s="30">
        <f t="shared" si="4"/>
        <v>3.1226126814362107E-3</v>
      </c>
      <c r="W9" s="30"/>
      <c r="X9" s="30">
        <f>VLOOKUP(D9,Parameters!A:B,2,FALSE)*K9</f>
        <v>5.1721643518518531E-3</v>
      </c>
      <c r="Y9" s="18"/>
      <c r="Z9" s="3" t="s">
        <v>20</v>
      </c>
      <c r="AA9" s="3">
        <f t="shared" si="5"/>
        <v>1</v>
      </c>
      <c r="AB9" s="8">
        <f t="shared" si="6"/>
        <v>1</v>
      </c>
      <c r="AC9" s="3">
        <f t="shared" si="7"/>
        <v>0</v>
      </c>
    </row>
    <row r="10" spans="1:29" x14ac:dyDescent="0.2">
      <c r="A10" s="42">
        <v>8</v>
      </c>
      <c r="B10" s="42" t="s">
        <v>30</v>
      </c>
      <c r="C10" s="22" t="str">
        <f>C$4&amp; IF($L11&gt;Endzeit," - nach Zielschluß","")</f>
        <v>Schneehage, Carsten</v>
      </c>
      <c r="D10" s="42" t="str">
        <f t="shared" ref="D10:D40" si="14">D4</f>
        <v>SC</v>
      </c>
      <c r="E10" s="46" t="s">
        <v>17</v>
      </c>
      <c r="F10" s="42" t="str">
        <f t="shared" si="0"/>
        <v>LESC</v>
      </c>
      <c r="G10" s="42">
        <f t="shared" si="13"/>
        <v>2</v>
      </c>
      <c r="H10" s="24">
        <f t="shared" si="1"/>
        <v>1.0416666666666667</v>
      </c>
      <c r="I10" s="24">
        <f t="shared" si="2"/>
        <v>1</v>
      </c>
      <c r="J10" s="24">
        <f>VLOOKUP(L10-Parameters!$B$25,Zeit,2)</f>
        <v>1</v>
      </c>
      <c r="K10" s="117">
        <f t="shared" si="3"/>
        <v>1.0416666666666667</v>
      </c>
      <c r="L10" s="36">
        <f t="shared" si="8"/>
        <v>1.620794560185185</v>
      </c>
      <c r="M10" s="32">
        <f>VLOOKUP(F10,TimeBasis!A:B,2,FALSE)*J10*H10</f>
        <v>4.0697337962962973E-2</v>
      </c>
      <c r="N10" s="30" t="str">
        <f t="shared" si="9"/>
        <v/>
      </c>
      <c r="O10" s="138">
        <f t="shared" si="10"/>
        <v>8.1903935185181354E-3</v>
      </c>
      <c r="P10" s="133">
        <f t="shared" si="11"/>
        <v>1.6126041666666668</v>
      </c>
      <c r="Q10" s="33">
        <v>3.667824074074074E-2</v>
      </c>
      <c r="R10" s="53"/>
      <c r="S10" s="38"/>
      <c r="T10" s="24">
        <f>IF(R10&gt;0,R10+S10*Climbfaktor/1000,VLOOKUP($E10,CoursesBasis!B$3:J$14,9,FALSE))</f>
        <v>7.76</v>
      </c>
      <c r="U10" s="30">
        <f t="shared" si="12"/>
        <v>4.7265774150439099E-3</v>
      </c>
      <c r="V10" s="30">
        <f t="shared" si="4"/>
        <v>4.5375143184421532E-3</v>
      </c>
      <c r="W10" s="30"/>
      <c r="X10" s="30">
        <f>VLOOKUP(D10,Parameters!A:B,2,FALSE)*K10</f>
        <v>5.2445023148148156E-3</v>
      </c>
      <c r="Y10" s="18"/>
      <c r="Z10" s="3" t="s">
        <v>21</v>
      </c>
      <c r="AA10" s="3">
        <f t="shared" si="5"/>
        <v>5</v>
      </c>
      <c r="AB10" s="8">
        <f t="shared" si="6"/>
        <v>6</v>
      </c>
      <c r="AC10" s="3">
        <f t="shared" si="7"/>
        <v>1</v>
      </c>
    </row>
    <row r="11" spans="1:29" x14ac:dyDescent="0.2">
      <c r="A11" s="42">
        <v>9</v>
      </c>
      <c r="B11" s="42" t="s">
        <v>32</v>
      </c>
      <c r="C11" s="22" t="str">
        <f>C$5&amp; IF($L12&gt;Endzeit," - nach Zielschluß","")</f>
        <v>Lorenz-Baath, Katrin</v>
      </c>
      <c r="D11" s="42" t="str">
        <f t="shared" si="14"/>
        <v>BK</v>
      </c>
      <c r="E11" s="46" t="s">
        <v>17</v>
      </c>
      <c r="F11" s="42" t="str">
        <f t="shared" si="0"/>
        <v>LEBK</v>
      </c>
      <c r="G11" s="42">
        <f t="shared" si="13"/>
        <v>2</v>
      </c>
      <c r="H11" s="24">
        <f t="shared" si="1"/>
        <v>1.0416666666666667</v>
      </c>
      <c r="I11" s="24">
        <f t="shared" si="2"/>
        <v>1</v>
      </c>
      <c r="J11" s="24">
        <f>VLOOKUP(L11-Parameters!$B$25,Zeit,2)</f>
        <v>1</v>
      </c>
      <c r="K11" s="117">
        <f t="shared" si="3"/>
        <v>1.0416666666666667</v>
      </c>
      <c r="L11" s="36">
        <f t="shared" si="8"/>
        <v>1.6614918981481479</v>
      </c>
      <c r="M11" s="32">
        <f>VLOOKUP(F11,TimeBasis!A:B,2,FALSE)*J11*H11</f>
        <v>4.2100694444444441E-2</v>
      </c>
      <c r="N11" s="30" t="str">
        <f t="shared" si="9"/>
        <v/>
      </c>
      <c r="O11" s="138">
        <f t="shared" si="10"/>
        <v>1.2209490740740403E-2</v>
      </c>
      <c r="P11" s="133">
        <f t="shared" si="11"/>
        <v>1.6492824074074075</v>
      </c>
      <c r="Q11" s="33">
        <v>4.6030092592592588E-2</v>
      </c>
      <c r="R11" s="53"/>
      <c r="S11" s="38"/>
      <c r="T11" s="24">
        <f>IF(R11&gt;0,R11+S11*Climbfaktor/1000,VLOOKUP($E11,CoursesBasis!B$3:J$14,9,FALSE))</f>
        <v>7.76</v>
      </c>
      <c r="U11" s="30">
        <f t="shared" si="12"/>
        <v>5.9317129629629624E-3</v>
      </c>
      <c r="V11" s="30">
        <f t="shared" si="4"/>
        <v>5.6944444444444438E-3</v>
      </c>
      <c r="W11" s="30"/>
      <c r="X11" s="30">
        <f>VLOOKUP(D11,Parameters!A:B,2,FALSE)*K11</f>
        <v>5.425347222222222E-3</v>
      </c>
      <c r="Y11" s="18"/>
      <c r="Z11" s="3" t="s">
        <v>22</v>
      </c>
      <c r="AA11" s="3">
        <f t="shared" si="5"/>
        <v>3</v>
      </c>
      <c r="AB11" s="8">
        <f t="shared" si="6"/>
        <v>2</v>
      </c>
      <c r="AC11" s="3">
        <f t="shared" si="7"/>
        <v>-1</v>
      </c>
    </row>
    <row r="12" spans="1:29" x14ac:dyDescent="0.2">
      <c r="A12" s="42">
        <v>10</v>
      </c>
      <c r="B12" s="42" t="s">
        <v>34</v>
      </c>
      <c r="C12" s="22" t="str">
        <f>C$6&amp; IF($L13&gt;Endzeit," - nach Zielschluß","")</f>
        <v>Lexen, Gert</v>
      </c>
      <c r="D12" s="42" t="str">
        <f t="shared" si="14"/>
        <v>LG</v>
      </c>
      <c r="E12" s="46" t="s">
        <v>16</v>
      </c>
      <c r="F12" s="42" t="str">
        <f t="shared" si="0"/>
        <v>SDLG</v>
      </c>
      <c r="G12" s="42">
        <f t="shared" si="13"/>
        <v>2</v>
      </c>
      <c r="H12" s="24">
        <f t="shared" si="1"/>
        <v>1.0416666666666667</v>
      </c>
      <c r="I12" s="24">
        <f t="shared" si="2"/>
        <v>1.1000000000000001</v>
      </c>
      <c r="J12" s="24">
        <f>VLOOKUP(L12-Parameters!$B$25,Zeit,2)</f>
        <v>1</v>
      </c>
      <c r="K12" s="117">
        <f t="shared" si="3"/>
        <v>1.1458333333333335</v>
      </c>
      <c r="L12" s="36">
        <f t="shared" si="8"/>
        <v>1.7035925925925923</v>
      </c>
      <c r="M12" s="32">
        <f>VLOOKUP(F12,TimeBasis!A:B,2,FALSE)*J12*H12</f>
        <v>3.4671404803240755E-2</v>
      </c>
      <c r="N12" s="30" t="str">
        <f t="shared" si="9"/>
        <v/>
      </c>
      <c r="O12" s="138">
        <f t="shared" si="10"/>
        <v>8.2800925925923252E-3</v>
      </c>
      <c r="P12" s="133">
        <f t="shared" si="11"/>
        <v>1.6953125</v>
      </c>
      <c r="Q12" s="33">
        <v>3.6990740740740741E-2</v>
      </c>
      <c r="R12" s="53"/>
      <c r="S12" s="38"/>
      <c r="T12" s="24">
        <f>IF(R12&gt;0,R12+S12*Climbfaktor/1000,VLOOKUP($E12,CoursesBasis!B$3:J$14,9,FALSE))</f>
        <v>6.0100000000000007</v>
      </c>
      <c r="U12" s="30">
        <f t="shared" si="12"/>
        <v>6.1548653478769944E-3</v>
      </c>
      <c r="V12" s="30">
        <f t="shared" si="4"/>
        <v>5.371518849056285E-3</v>
      </c>
      <c r="W12" s="30"/>
      <c r="X12" s="30">
        <f>VLOOKUP(D12,Parameters!A:B,2,FALSE)*K12</f>
        <v>5.7689525462962972E-3</v>
      </c>
      <c r="Y12" s="18"/>
      <c r="Z12" s="3" t="s">
        <v>23</v>
      </c>
      <c r="AA12" s="3">
        <f t="shared" si="5"/>
        <v>3</v>
      </c>
      <c r="AB12" s="8">
        <f t="shared" si="6"/>
        <v>3</v>
      </c>
      <c r="AC12" s="3">
        <f t="shared" si="7"/>
        <v>0</v>
      </c>
    </row>
    <row r="13" spans="1:29" x14ac:dyDescent="0.2">
      <c r="A13" s="42">
        <v>11</v>
      </c>
      <c r="B13" s="42" t="s">
        <v>35</v>
      </c>
      <c r="C13" s="22" t="str">
        <f>C$7&amp; IF($L14&gt;Endzeit," - nach Zielschluß","")</f>
        <v>Baath, Veikko</v>
      </c>
      <c r="D13" s="42" t="str">
        <f t="shared" si="14"/>
        <v>BV</v>
      </c>
      <c r="E13" s="46" t="s">
        <v>15</v>
      </c>
      <c r="F13" s="42" t="str">
        <f t="shared" si="0"/>
        <v>SEBV</v>
      </c>
      <c r="G13" s="42">
        <f t="shared" si="13"/>
        <v>2</v>
      </c>
      <c r="H13" s="24">
        <f t="shared" si="1"/>
        <v>1.0416666666666667</v>
      </c>
      <c r="I13" s="24">
        <f t="shared" si="2"/>
        <v>1</v>
      </c>
      <c r="J13" s="24">
        <f>VLOOKUP(L13-Parameters!$B$25,Zeit,2)</f>
        <v>1</v>
      </c>
      <c r="K13" s="117">
        <f t="shared" si="3"/>
        <v>1.0416666666666667</v>
      </c>
      <c r="L13" s="36">
        <f t="shared" si="8"/>
        <v>1.7382639973958331</v>
      </c>
      <c r="M13" s="32">
        <f>VLOOKUP(F13,TimeBasis!A:B,2,FALSE)*J13*H13</f>
        <v>2.5435836226851853E-2</v>
      </c>
      <c r="N13" s="30" t="str">
        <f t="shared" si="9"/>
        <v/>
      </c>
      <c r="O13" s="138">
        <f t="shared" si="10"/>
        <v>5.9607566550923252E-3</v>
      </c>
      <c r="P13" s="133">
        <f t="shared" si="11"/>
        <v>1.7323032407407408</v>
      </c>
      <c r="Q13" s="33">
        <v>2.9641203703703701E-2</v>
      </c>
      <c r="R13" s="53"/>
      <c r="S13" s="38"/>
      <c r="T13" s="24">
        <f>IF(R13&gt;0,R13+S13*Climbfaktor/1000,VLOOKUP($E13,CoursesBasis!B$3:J$14,9,FALSE))</f>
        <v>4.8499999999999996</v>
      </c>
      <c r="U13" s="30">
        <f t="shared" si="12"/>
        <v>6.1115883925162272E-3</v>
      </c>
      <c r="V13" s="30">
        <f t="shared" si="4"/>
        <v>5.8671248568155782E-3</v>
      </c>
      <c r="W13" s="30"/>
      <c r="X13" s="30">
        <f>VLOOKUP(D13,Parameters!A:B,2,FALSE)*K13</f>
        <v>5.2445023148148156E-3</v>
      </c>
      <c r="Y13" s="18"/>
      <c r="Z13" s="3" t="s">
        <v>24</v>
      </c>
      <c r="AA13" s="3">
        <f t="shared" si="5"/>
        <v>3</v>
      </c>
      <c r="AB13" s="8">
        <f t="shared" si="6"/>
        <v>3</v>
      </c>
      <c r="AC13" s="3">
        <f t="shared" si="7"/>
        <v>0</v>
      </c>
    </row>
    <row r="14" spans="1:29" x14ac:dyDescent="0.2">
      <c r="A14" s="42">
        <v>12</v>
      </c>
      <c r="B14" s="42" t="s">
        <v>37</v>
      </c>
      <c r="C14" s="22" t="str">
        <f>C$8&amp; IF($L15&gt;Endzeit," - nach Zielschluß","")</f>
        <v>Lexen, Johanna</v>
      </c>
      <c r="D14" s="42" t="str">
        <f t="shared" si="14"/>
        <v>LJ</v>
      </c>
      <c r="E14" s="46" t="s">
        <v>15</v>
      </c>
      <c r="F14" s="42" t="str">
        <f t="shared" si="0"/>
        <v>SELJ</v>
      </c>
      <c r="G14" s="42">
        <f t="shared" si="13"/>
        <v>2</v>
      </c>
      <c r="H14" s="24">
        <f t="shared" si="1"/>
        <v>1.0416666666666667</v>
      </c>
      <c r="I14" s="24">
        <f t="shared" si="2"/>
        <v>1</v>
      </c>
      <c r="J14" s="24">
        <f>VLOOKUP(L14-Parameters!$B$25,Zeit,2)</f>
        <v>1</v>
      </c>
      <c r="K14" s="117">
        <f t="shared" si="3"/>
        <v>1.0416666666666667</v>
      </c>
      <c r="L14" s="36">
        <f t="shared" si="8"/>
        <v>1.763699833622685</v>
      </c>
      <c r="M14" s="32">
        <f>VLOOKUP(F14,TimeBasis!A:B,2,FALSE)*J14*H14</f>
        <v>2.9821325231481479E-2</v>
      </c>
      <c r="N14" s="30" t="str">
        <f t="shared" si="9"/>
        <v/>
      </c>
      <c r="O14" s="138">
        <f t="shared" si="10"/>
        <v>1.755389178240474E-3</v>
      </c>
      <c r="P14" s="133">
        <f t="shared" si="11"/>
        <v>1.7619444444444445</v>
      </c>
      <c r="Q14" s="33">
        <v>3.0659722222222224E-2</v>
      </c>
      <c r="R14" s="53"/>
      <c r="S14" s="38"/>
      <c r="T14" s="24">
        <f>IF(R14&gt;0,R14+S14*Climbfaktor/1000,VLOOKUP($E14,CoursesBasis!B$3:J$14,9,FALSE))</f>
        <v>4.8499999999999996</v>
      </c>
      <c r="U14" s="30">
        <f t="shared" si="12"/>
        <v>6.3215922107674695E-3</v>
      </c>
      <c r="V14" s="30">
        <f t="shared" si="4"/>
        <v>6.06872852233677E-3</v>
      </c>
      <c r="W14" s="30"/>
      <c r="X14" s="30">
        <f>VLOOKUP(D14,Parameters!A:B,2,FALSE)*K14</f>
        <v>6.1487268518518523E-3</v>
      </c>
      <c r="Y14" s="18"/>
      <c r="Z14" s="3" t="s">
        <v>25</v>
      </c>
      <c r="AA14" s="3">
        <f t="shared" si="5"/>
        <v>6</v>
      </c>
      <c r="AB14" s="8">
        <f t="shared" si="6"/>
        <v>6</v>
      </c>
      <c r="AC14" s="3">
        <f t="shared" si="7"/>
        <v>0</v>
      </c>
    </row>
    <row r="15" spans="1:29" x14ac:dyDescent="0.2">
      <c r="A15" s="42">
        <v>13</v>
      </c>
      <c r="B15" s="42" t="s">
        <v>28</v>
      </c>
      <c r="C15" s="22" t="str">
        <f>C$3&amp; IF($L16&gt;Endzeit," - nach Zielschluß","")</f>
        <v>Ehrl, Lionel</v>
      </c>
      <c r="D15" s="42" t="str">
        <f t="shared" si="14"/>
        <v>EL</v>
      </c>
      <c r="E15" s="46" t="s">
        <v>18</v>
      </c>
      <c r="F15" s="42" t="str">
        <f t="shared" si="0"/>
        <v>LDEL</v>
      </c>
      <c r="G15" s="42">
        <f t="shared" si="13"/>
        <v>3</v>
      </c>
      <c r="H15" s="24">
        <f t="shared" si="1"/>
        <v>1.0833333333333333</v>
      </c>
      <c r="I15" s="24">
        <f t="shared" si="2"/>
        <v>1.1000000000000001</v>
      </c>
      <c r="J15" s="24">
        <f>VLOOKUP(L15-Parameters!$B$25,Zeit,2)</f>
        <v>1</v>
      </c>
      <c r="K15" s="117">
        <f t="shared" si="3"/>
        <v>1.1916666666666667</v>
      </c>
      <c r="L15" s="36">
        <f t="shared" si="8"/>
        <v>1.7935211588541664</v>
      </c>
      <c r="M15" s="32">
        <f>VLOOKUP(F15,TimeBasis!A:B,2,FALSE)*J15*H15</f>
        <v>5.1208564814814811E-2</v>
      </c>
      <c r="N15" s="30" t="str">
        <f t="shared" si="9"/>
        <v/>
      </c>
      <c r="O15" s="138">
        <f t="shared" si="10"/>
        <v>9.1699218749963229E-4</v>
      </c>
      <c r="P15" s="133">
        <f t="shared" si="11"/>
        <v>1.7926041666666668</v>
      </c>
      <c r="Q15" s="33">
        <v>5.9965277777777777E-2</v>
      </c>
      <c r="R15" s="53"/>
      <c r="S15" s="38"/>
      <c r="T15" s="24">
        <f>IF(R15&gt;0,R15+S15*Climbfaktor/1000,VLOOKUP($E15,CoursesBasis!B$3:J$14,9,FALSE))</f>
        <v>9.52</v>
      </c>
      <c r="U15" s="30">
        <f t="shared" si="12"/>
        <v>6.2988737161531281E-3</v>
      </c>
      <c r="V15" s="30">
        <f t="shared" si="4"/>
        <v>5.2857681534152125E-3</v>
      </c>
      <c r="W15" s="30"/>
      <c r="X15" s="30">
        <f>VLOOKUP(D15,Parameters!A:B,2,FALSE)*K15</f>
        <v>5.379050925925926E-3</v>
      </c>
      <c r="Y15" s="18"/>
      <c r="Z15" s="3"/>
      <c r="AA15" s="3"/>
      <c r="AB15" s="5">
        <f>SUM(AB3:AB14)</f>
        <v>38</v>
      </c>
      <c r="AC15" s="5">
        <f>SUM(AC3:AC14)</f>
        <v>0</v>
      </c>
    </row>
    <row r="16" spans="1:29" x14ac:dyDescent="0.2">
      <c r="A16" s="42">
        <v>14</v>
      </c>
      <c r="B16" s="42" t="s">
        <v>30</v>
      </c>
      <c r="C16" s="22" t="str">
        <f>C$4&amp; IF($L17&gt;Endzeit," - nach Zielschluß","")</f>
        <v>Schneehage, Carsten</v>
      </c>
      <c r="D16" s="42" t="str">
        <f t="shared" si="14"/>
        <v>SC</v>
      </c>
      <c r="E16" s="46" t="s">
        <v>17</v>
      </c>
      <c r="F16" s="42" t="str">
        <f t="shared" si="0"/>
        <v>LESC</v>
      </c>
      <c r="G16" s="42">
        <f t="shared" si="13"/>
        <v>3</v>
      </c>
      <c r="H16" s="24">
        <f t="shared" si="1"/>
        <v>1.0833333333333333</v>
      </c>
      <c r="I16" s="24">
        <f t="shared" si="2"/>
        <v>1</v>
      </c>
      <c r="J16" s="24">
        <f>VLOOKUP(L16-Parameters!$B$25,Zeit,2)</f>
        <v>1.1000000000000001</v>
      </c>
      <c r="K16" s="117">
        <f t="shared" si="3"/>
        <v>1.1916666666666667</v>
      </c>
      <c r="L16" s="36">
        <f t="shared" si="8"/>
        <v>1.8447297236689812</v>
      </c>
      <c r="M16" s="32">
        <f>VLOOKUP(F16,TimeBasis!A:B,2,FALSE)*J16*H16</f>
        <v>4.6557754629629633E-2</v>
      </c>
      <c r="N16" s="30" t="str">
        <f t="shared" si="9"/>
        <v/>
      </c>
      <c r="O16" s="138">
        <f t="shared" si="10"/>
        <v>7.8397207754632436E-3</v>
      </c>
      <c r="P16" s="133">
        <f t="shared" si="11"/>
        <v>1.8525694444444445</v>
      </c>
      <c r="Q16" s="33">
        <v>3.2349537037037038E-2</v>
      </c>
      <c r="R16" s="53"/>
      <c r="S16" s="38"/>
      <c r="T16" s="24">
        <f>IF(R16&gt;0,R16+S16*Climbfaktor/1000,VLOOKUP($E16,CoursesBasis!B$3:J$14,9,FALSE))</f>
        <v>7.76</v>
      </c>
      <c r="U16" s="30">
        <f t="shared" si="12"/>
        <v>4.1687547728140517E-3</v>
      </c>
      <c r="V16" s="30">
        <f t="shared" si="4"/>
        <v>3.4982557534103931E-3</v>
      </c>
      <c r="W16" s="30"/>
      <c r="X16" s="30">
        <f>VLOOKUP(D16,Parameters!A:B,2,FALSE)*K16</f>
        <v>5.9997106481481481E-3</v>
      </c>
      <c r="Y16" s="18"/>
    </row>
    <row r="17" spans="1:33" x14ac:dyDescent="0.2">
      <c r="A17" s="42">
        <v>15</v>
      </c>
      <c r="B17" s="42" t="s">
        <v>32</v>
      </c>
      <c r="C17" s="22" t="str">
        <f>C$5&amp; IF($L18&gt;Endzeit," - nach Zielschluß","")</f>
        <v>Lorenz-Baath, Katrin</v>
      </c>
      <c r="D17" s="42" t="str">
        <f t="shared" si="14"/>
        <v>BK</v>
      </c>
      <c r="E17" s="46" t="s">
        <v>19</v>
      </c>
      <c r="F17" s="42" t="str">
        <f t="shared" si="0"/>
        <v>STBK</v>
      </c>
      <c r="G17" s="42">
        <f t="shared" si="13"/>
        <v>3</v>
      </c>
      <c r="H17" s="24">
        <f t="shared" si="1"/>
        <v>1.0833333333333333</v>
      </c>
      <c r="I17" s="24">
        <f t="shared" si="2"/>
        <v>1</v>
      </c>
      <c r="J17" s="24">
        <f>VLOOKUP(L17-Parameters!$B$25,Zeit,2)</f>
        <v>1.1000000000000001</v>
      </c>
      <c r="K17" s="117">
        <f t="shared" si="3"/>
        <v>1.1916666666666667</v>
      </c>
      <c r="L17" s="36">
        <f t="shared" si="8"/>
        <v>1.8912874782986109</v>
      </c>
      <c r="M17" s="32">
        <f>VLOOKUP(F17,TimeBasis!A:B,2,FALSE)*J17*H17</f>
        <v>2.6315972222222223E-2</v>
      </c>
      <c r="N17" s="30" t="str">
        <f t="shared" si="9"/>
        <v/>
      </c>
      <c r="O17" s="138">
        <f t="shared" si="10"/>
        <v>6.3684968171293654E-3</v>
      </c>
      <c r="P17" s="133">
        <f t="shared" si="11"/>
        <v>1.8849189814814815</v>
      </c>
      <c r="Q17" s="33">
        <v>1.9791666666666666E-2</v>
      </c>
      <c r="R17" s="53"/>
      <c r="S17" s="38"/>
      <c r="T17" s="24">
        <f>IF(R17&gt;0,R17+S17*Climbfaktor/1000,VLOOKUP($E17,CoursesBasis!B$3:J$14,9,FALSE))</f>
        <v>4.24</v>
      </c>
      <c r="U17" s="30">
        <f t="shared" si="12"/>
        <v>4.6678459119496854E-3</v>
      </c>
      <c r="V17" s="30">
        <f t="shared" si="4"/>
        <v>3.9170734925451905E-3</v>
      </c>
      <c r="W17" s="30"/>
      <c r="X17" s="30">
        <f>VLOOKUP(D17,Parameters!A:B,2,FALSE)*K17</f>
        <v>6.2065972222222219E-3</v>
      </c>
      <c r="Y17" s="18"/>
      <c r="Z17" s="154" t="s">
        <v>48</v>
      </c>
      <c r="AA17" s="155"/>
      <c r="AB17" s="156"/>
      <c r="AC17" s="2" t="s">
        <v>104</v>
      </c>
      <c r="AD17" s="2" t="s">
        <v>102</v>
      </c>
      <c r="AE17" s="2" t="s">
        <v>68</v>
      </c>
      <c r="AF17" s="54" t="s">
        <v>115</v>
      </c>
      <c r="AG17" s="54" t="s">
        <v>116</v>
      </c>
    </row>
    <row r="18" spans="1:33" x14ac:dyDescent="0.2">
      <c r="A18" s="42">
        <v>16</v>
      </c>
      <c r="B18" s="42" t="s">
        <v>34</v>
      </c>
      <c r="C18" s="22" t="str">
        <f>C$6&amp; IF($L19&gt;Endzeit," - nach Zielschluß","")</f>
        <v>Lexen, Gert</v>
      </c>
      <c r="D18" s="42" t="str">
        <f t="shared" si="14"/>
        <v>LG</v>
      </c>
      <c r="E18" s="46" t="s">
        <v>20</v>
      </c>
      <c r="F18" s="42" t="str">
        <f t="shared" si="0"/>
        <v>LTLG</v>
      </c>
      <c r="G18" s="42">
        <f t="shared" si="13"/>
        <v>3</v>
      </c>
      <c r="H18" s="24">
        <f t="shared" si="1"/>
        <v>1.0833333333333333</v>
      </c>
      <c r="I18" s="24">
        <f t="shared" si="2"/>
        <v>1</v>
      </c>
      <c r="J18" s="24">
        <f>VLOOKUP(L18-Parameters!$B$25,Zeit,2)</f>
        <v>1.2</v>
      </c>
      <c r="K18" s="117">
        <f t="shared" si="3"/>
        <v>1.2999999999999998</v>
      </c>
      <c r="L18" s="36">
        <f t="shared" si="8"/>
        <v>1.917603450520833</v>
      </c>
      <c r="M18" s="32">
        <f>VLOOKUP(F18,TimeBasis!A:B,2,FALSE)*J18*H18</f>
        <v>3.7569097222222222E-2</v>
      </c>
      <c r="N18" s="30" t="str">
        <f t="shared" si="9"/>
        <v/>
      </c>
      <c r="O18" s="138">
        <f t="shared" si="10"/>
        <v>1.2892802372684864E-2</v>
      </c>
      <c r="P18" s="133">
        <f t="shared" si="11"/>
        <v>1.9047106481481482</v>
      </c>
      <c r="Q18" s="33">
        <v>3.7557870370370373E-2</v>
      </c>
      <c r="R18" s="53"/>
      <c r="S18" s="38"/>
      <c r="T18" s="24">
        <f>IF(R18&gt;0,R18+S18*Climbfaktor/1000,VLOOKUP($E18,CoursesBasis!B$3:J$14,9,FALSE))</f>
        <v>5.74</v>
      </c>
      <c r="U18" s="30">
        <f t="shared" si="12"/>
        <v>6.5431829913537238E-3</v>
      </c>
      <c r="V18" s="30">
        <f t="shared" si="4"/>
        <v>5.0332176856567115E-3</v>
      </c>
      <c r="W18" s="30"/>
      <c r="X18" s="30">
        <f>VLOOKUP(D18,Parameters!A:B,2,FALSE)*K18</f>
        <v>6.5451388888888885E-3</v>
      </c>
      <c r="Y18" s="18"/>
      <c r="Z18" s="157" t="str">
        <f t="shared" ref="Z18:Z23" si="15">C3</f>
        <v>Ehrl, Lionel</v>
      </c>
      <c r="AA18" s="158"/>
      <c r="AB18" s="159"/>
      <c r="AC18" s="9">
        <f t="shared" ref="AC18:AC23" ca="1" si="16">SUMIF(C:M,Z18,M:M)</f>
        <v>0.1963195601851852</v>
      </c>
      <c r="AD18" s="34">
        <f t="shared" ref="AD18:AD23" ca="1" si="17">SUMIF(C:T,Z18,T:T)</f>
        <v>36.479999999999997</v>
      </c>
      <c r="AE18" s="35">
        <f t="shared" ref="AE18:AE23" ca="1" si="18">IF(AD18&gt;0,AC18/AD18,"")</f>
        <v>5.3815668910412616E-3</v>
      </c>
      <c r="AF18" s="35">
        <f t="shared" ref="AF18:AF23" ca="1" si="19">SUMIF(C3:V40,Z18,V3:V40)/AG18</f>
        <v>4.8628351284287106E-3</v>
      </c>
      <c r="AG18" s="55">
        <f t="shared" ref="AG18:AG23" si="20">COUNTIF(C:C,Z18)</f>
        <v>5</v>
      </c>
    </row>
    <row r="19" spans="1:33" x14ac:dyDescent="0.2">
      <c r="A19" s="42">
        <v>17</v>
      </c>
      <c r="B19" s="42" t="s">
        <v>35</v>
      </c>
      <c r="C19" s="22" t="str">
        <f>C$7&amp; IF($L20&gt;Endzeit," - nach Zielschluß","")</f>
        <v>Baath, Veikko</v>
      </c>
      <c r="D19" s="42" t="str">
        <f t="shared" si="14"/>
        <v>BV</v>
      </c>
      <c r="E19" s="46" t="s">
        <v>22</v>
      </c>
      <c r="F19" s="42" t="str">
        <f t="shared" si="0"/>
        <v>SDNBV</v>
      </c>
      <c r="G19" s="42">
        <f t="shared" si="13"/>
        <v>3</v>
      </c>
      <c r="H19" s="24">
        <f t="shared" si="1"/>
        <v>1.0833333333333333</v>
      </c>
      <c r="I19" s="24">
        <f t="shared" si="2"/>
        <v>1.1000000000000001</v>
      </c>
      <c r="J19" s="24">
        <f>VLOOKUP(L19-Parameters!$B$25,Zeit,2)</f>
        <v>1.2</v>
      </c>
      <c r="K19" s="117">
        <f t="shared" si="3"/>
        <v>1.43</v>
      </c>
      <c r="L19" s="36">
        <f t="shared" si="8"/>
        <v>1.9551725477430553</v>
      </c>
      <c r="M19" s="32">
        <f>VLOOKUP(F19,TimeBasis!A:B,2,FALSE)*J19*H19</f>
        <v>3.5710277777777778E-2</v>
      </c>
      <c r="N19" s="30" t="str">
        <f t="shared" si="9"/>
        <v/>
      </c>
      <c r="O19" s="138">
        <f t="shared" si="10"/>
        <v>1.2904029224536817E-2</v>
      </c>
      <c r="P19" s="133">
        <f t="shared" si="11"/>
        <v>1.9422685185185184</v>
      </c>
      <c r="Q19" s="33">
        <v>3.0092592592592591E-2</v>
      </c>
      <c r="R19" s="53"/>
      <c r="S19" s="38"/>
      <c r="T19" s="24">
        <f>IF(R19&gt;0,R19+S19*Climbfaktor/1000,VLOOKUP($E19,CoursesBasis!B$3:J$14,9,FALSE))</f>
        <v>4.96</v>
      </c>
      <c r="U19" s="30">
        <f t="shared" si="12"/>
        <v>6.0670549581839902E-3</v>
      </c>
      <c r="V19" s="30">
        <f t="shared" si="4"/>
        <v>4.2426957749538393E-3</v>
      </c>
      <c r="W19" s="30"/>
      <c r="X19" s="30">
        <f>VLOOKUP(D19,Parameters!A:B,2,FALSE)*K19</f>
        <v>7.1996527777777779E-3</v>
      </c>
      <c r="Y19" s="18"/>
      <c r="Z19" s="157" t="str">
        <f t="shared" si="15"/>
        <v>Schneehage, Carsten</v>
      </c>
      <c r="AA19" s="158"/>
      <c r="AB19" s="159"/>
      <c r="AC19" s="9">
        <f t="shared" ca="1" si="16"/>
        <v>0.2129922453703704</v>
      </c>
      <c r="AD19" s="34">
        <f t="shared" ca="1" si="17"/>
        <v>36.96</v>
      </c>
      <c r="AE19" s="35">
        <f t="shared" ca="1" si="18"/>
        <v>5.7627772015792856E-3</v>
      </c>
      <c r="AF19" s="35">
        <f t="shared" ca="1" si="19"/>
        <v>4.1380029419681181E-3</v>
      </c>
      <c r="AG19" s="55">
        <f t="shared" si="20"/>
        <v>5</v>
      </c>
    </row>
    <row r="20" spans="1:33" x14ac:dyDescent="0.2">
      <c r="A20" s="42">
        <v>18</v>
      </c>
      <c r="B20" s="42" t="s">
        <v>37</v>
      </c>
      <c r="C20" s="22" t="str">
        <f>C$8&amp; IF($L21&gt;Endzeit," - nach Zielschluß","")</f>
        <v>Lexen, Johanna</v>
      </c>
      <c r="D20" s="42" t="str">
        <f t="shared" si="14"/>
        <v>LJ</v>
      </c>
      <c r="E20" s="46" t="s">
        <v>21</v>
      </c>
      <c r="F20" s="42" t="str">
        <f t="shared" si="0"/>
        <v>SENLJ</v>
      </c>
      <c r="G20" s="42">
        <f t="shared" si="13"/>
        <v>3</v>
      </c>
      <c r="H20" s="24">
        <f t="shared" si="1"/>
        <v>1.0833333333333333</v>
      </c>
      <c r="I20" s="24">
        <f t="shared" si="2"/>
        <v>1</v>
      </c>
      <c r="J20" s="24">
        <f>VLOOKUP(L20-Parameters!$B$25,Zeit,2)</f>
        <v>1.2</v>
      </c>
      <c r="K20" s="117">
        <f t="shared" si="3"/>
        <v>1.2999999999999998</v>
      </c>
      <c r="L20" s="36">
        <f t="shared" si="8"/>
        <v>1.9908828255208331</v>
      </c>
      <c r="M20" s="32">
        <f>VLOOKUP(F20,TimeBasis!A:B,2,FALSE)*J20*H20</f>
        <v>3.3840624999999992E-2</v>
      </c>
      <c r="N20" s="30" t="str">
        <f t="shared" si="9"/>
        <v/>
      </c>
      <c r="O20" s="138">
        <f t="shared" si="10"/>
        <v>1.8521714409722057E-2</v>
      </c>
      <c r="P20" s="133">
        <f t="shared" si="11"/>
        <v>1.972361111111111</v>
      </c>
      <c r="Q20" s="33">
        <v>2.9374999999999998E-2</v>
      </c>
      <c r="R20" s="53"/>
      <c r="S20" s="38"/>
      <c r="T20" s="24">
        <f>IF(R20&gt;0,R20+S20*Climbfaktor/1000,VLOOKUP($E20,CoursesBasis!B$3:J$14,9,FALSE))</f>
        <v>4.41</v>
      </c>
      <c r="U20" s="30">
        <f t="shared" si="12"/>
        <v>6.6609977324263029E-3</v>
      </c>
      <c r="V20" s="30">
        <f t="shared" si="4"/>
        <v>5.1238444095586949E-3</v>
      </c>
      <c r="W20" s="30"/>
      <c r="X20" s="30">
        <f>VLOOKUP(D20,Parameters!A:B,2,FALSE)*K20</f>
        <v>7.6736111111111102E-3</v>
      </c>
      <c r="Y20" s="18"/>
      <c r="Z20" s="157" t="str">
        <f t="shared" si="15"/>
        <v>Lorenz-Baath, Katrin</v>
      </c>
      <c r="AA20" s="158"/>
      <c r="AB20" s="159"/>
      <c r="AC20" s="9">
        <f t="shared" ca="1" si="16"/>
        <v>0.15148177083333333</v>
      </c>
      <c r="AD20" s="34">
        <f t="shared" ca="1" si="17"/>
        <v>25.67</v>
      </c>
      <c r="AE20" s="35">
        <f t="shared" ca="1" si="18"/>
        <v>5.9011207960005191E-3</v>
      </c>
      <c r="AF20" s="35">
        <f t="shared" ca="1" si="19"/>
        <v>5.2066698436093418E-3</v>
      </c>
      <c r="AG20" s="55">
        <f t="shared" si="20"/>
        <v>5</v>
      </c>
    </row>
    <row r="21" spans="1:33" x14ac:dyDescent="0.2">
      <c r="A21" s="42">
        <v>19</v>
      </c>
      <c r="B21" s="42" t="s">
        <v>28</v>
      </c>
      <c r="C21" s="22" t="str">
        <f>C$3&amp; IF($L22&gt;Endzeit," - nach Zielschluß","")</f>
        <v>Ehrl, Lionel</v>
      </c>
      <c r="D21" s="42" t="str">
        <f t="shared" si="14"/>
        <v>EL</v>
      </c>
      <c r="E21" s="46" t="s">
        <v>23</v>
      </c>
      <c r="F21" s="42" t="str">
        <f t="shared" si="0"/>
        <v>LENEL</v>
      </c>
      <c r="G21" s="42">
        <f t="shared" si="13"/>
        <v>4</v>
      </c>
      <c r="H21" s="24">
        <f t="shared" si="1"/>
        <v>1.125</v>
      </c>
      <c r="I21" s="24">
        <f t="shared" si="2"/>
        <v>1</v>
      </c>
      <c r="J21" s="24">
        <f>VLOOKUP(L21-Parameters!$B$25,Zeit,2)</f>
        <v>1.2</v>
      </c>
      <c r="K21" s="117">
        <f t="shared" si="3"/>
        <v>1.3499999999999999</v>
      </c>
      <c r="L21" s="36">
        <f t="shared" si="8"/>
        <v>2.0247234505208329</v>
      </c>
      <c r="M21" s="32">
        <f>VLOOKUP(F21,TimeBasis!A:B,2,FALSE)*J21*H21</f>
        <v>4.168125000000001E-2</v>
      </c>
      <c r="N21" s="30" t="str">
        <f t="shared" si="9"/>
        <v/>
      </c>
      <c r="O21" s="138">
        <f t="shared" si="10"/>
        <v>2.2987339409721752E-2</v>
      </c>
      <c r="P21" s="133">
        <f t="shared" si="11"/>
        <v>2.0017361111111112</v>
      </c>
      <c r="Q21" s="33">
        <v>3.8958333333333338E-2</v>
      </c>
      <c r="R21" s="53"/>
      <c r="S21" s="38"/>
      <c r="T21" s="24">
        <f>IF(R21&gt;0,R21+S21*Climbfaktor/1000,VLOOKUP($E21,CoursesBasis!B$3:J$14,9,FALSE))</f>
        <v>6.8400000000000007</v>
      </c>
      <c r="U21" s="30">
        <f t="shared" si="12"/>
        <v>5.6956627680311888E-3</v>
      </c>
      <c r="V21" s="30">
        <f t="shared" si="4"/>
        <v>4.2190094578008807E-3</v>
      </c>
      <c r="W21" s="30"/>
      <c r="X21" s="30">
        <f>VLOOKUP(D21,Parameters!A:B,2,FALSE)*K21</f>
        <v>6.0937500000000002E-3</v>
      </c>
      <c r="Y21" s="18"/>
      <c r="Z21" s="157" t="str">
        <f t="shared" si="15"/>
        <v>Lexen, Gert</v>
      </c>
      <c r="AA21" s="158"/>
      <c r="AB21" s="159"/>
      <c r="AC21" s="9">
        <f t="shared" ca="1" si="16"/>
        <v>0.16872994646990744</v>
      </c>
      <c r="AD21" s="34">
        <f t="shared" ca="1" si="17"/>
        <v>27.189999999999998</v>
      </c>
      <c r="AE21" s="35">
        <f t="shared" ca="1" si="18"/>
        <v>6.205588321806085E-3</v>
      </c>
      <c r="AF21" s="35">
        <f t="shared" ca="1" si="19"/>
        <v>3.8014722923265885E-3</v>
      </c>
      <c r="AG21" s="55">
        <f t="shared" si="20"/>
        <v>4</v>
      </c>
    </row>
    <row r="22" spans="1:33" x14ac:dyDescent="0.2">
      <c r="A22" s="42">
        <v>20</v>
      </c>
      <c r="B22" s="42" t="s">
        <v>30</v>
      </c>
      <c r="C22" s="22" t="str">
        <f>C$4&amp; IF($L23&gt;Endzeit," - nach Zielschluß","")</f>
        <v>Schneehage, Carsten</v>
      </c>
      <c r="D22" s="42" t="str">
        <f t="shared" si="14"/>
        <v>SC</v>
      </c>
      <c r="E22" s="46" t="s">
        <v>23</v>
      </c>
      <c r="F22" s="42" t="str">
        <f t="shared" si="0"/>
        <v>LENSC</v>
      </c>
      <c r="G22" s="42">
        <f t="shared" si="13"/>
        <v>4</v>
      </c>
      <c r="H22" s="24">
        <f t="shared" si="1"/>
        <v>1.125</v>
      </c>
      <c r="I22" s="24">
        <f t="shared" si="2"/>
        <v>1</v>
      </c>
      <c r="J22" s="24">
        <f>VLOOKUP(L22-Parameters!$B$25,Zeit,2)</f>
        <v>1.2</v>
      </c>
      <c r="K22" s="117">
        <f t="shared" si="3"/>
        <v>1.3499999999999999</v>
      </c>
      <c r="L22" s="36">
        <f t="shared" si="8"/>
        <v>2.0664047005208328</v>
      </c>
      <c r="M22" s="32">
        <f>VLOOKUP(F22,TimeBasis!A:B,2,FALSE)*J22*H22</f>
        <v>4.6490625000000001E-2</v>
      </c>
      <c r="N22" s="30" t="str">
        <f t="shared" si="9"/>
        <v/>
      </c>
      <c r="O22" s="138">
        <f t="shared" si="10"/>
        <v>2.5710256076388216E-2</v>
      </c>
      <c r="P22" s="133">
        <f t="shared" si="11"/>
        <v>2.0406944444444446</v>
      </c>
      <c r="Q22" s="33">
        <v>3.7199074074074072E-2</v>
      </c>
      <c r="R22" s="53"/>
      <c r="S22" s="38"/>
      <c r="T22" s="24">
        <f>IF(R22&gt;0,R22+S22*Climbfaktor/1000,VLOOKUP($E22,CoursesBasis!B$3:J$14,9,FALSE))</f>
        <v>6.8400000000000007</v>
      </c>
      <c r="U22" s="30">
        <f t="shared" si="12"/>
        <v>5.4384611219406532E-3</v>
      </c>
      <c r="V22" s="30">
        <f t="shared" si="4"/>
        <v>4.0284897199560398E-3</v>
      </c>
      <c r="W22" s="30"/>
      <c r="X22" s="30">
        <f>VLOOKUP(D22,Parameters!A:B,2,FALSE)*K22</f>
        <v>6.796875E-3</v>
      </c>
      <c r="Y22" s="18"/>
      <c r="Z22" s="157" t="str">
        <f t="shared" si="15"/>
        <v>Baath, Veikko</v>
      </c>
      <c r="AA22" s="158"/>
      <c r="AB22" s="159"/>
      <c r="AC22" s="9">
        <f t="shared" ca="1" si="16"/>
        <v>0.12769192563657406</v>
      </c>
      <c r="AD22" s="34">
        <f t="shared" ca="1" si="17"/>
        <v>21.98</v>
      </c>
      <c r="AE22" s="35">
        <f t="shared" ca="1" si="18"/>
        <v>5.809459765085262E-3</v>
      </c>
      <c r="AF22" s="35">
        <f t="shared" ca="1" si="19"/>
        <v>5.0994769652925875E-3</v>
      </c>
      <c r="AG22" s="55">
        <f t="shared" si="20"/>
        <v>4</v>
      </c>
    </row>
    <row r="23" spans="1:33" x14ac:dyDescent="0.2">
      <c r="A23" s="42">
        <v>21</v>
      </c>
      <c r="B23" s="42" t="s">
        <v>32</v>
      </c>
      <c r="C23" s="22" t="str">
        <f>C$5&amp; IF($L24&gt;Endzeit," - nach Zielschluß","")</f>
        <v>Lorenz-Baath, Katrin</v>
      </c>
      <c r="D23" s="42" t="str">
        <f t="shared" si="14"/>
        <v>BK</v>
      </c>
      <c r="E23" s="46" t="s">
        <v>21</v>
      </c>
      <c r="F23" s="42" t="str">
        <f t="shared" si="0"/>
        <v>SENBK</v>
      </c>
      <c r="G23" s="42">
        <f t="shared" si="13"/>
        <v>4</v>
      </c>
      <c r="H23" s="24">
        <f t="shared" si="1"/>
        <v>1.125</v>
      </c>
      <c r="I23" s="24">
        <f t="shared" si="2"/>
        <v>1</v>
      </c>
      <c r="J23" s="24">
        <f>VLOOKUP(L23-Parameters!$B$25,Zeit,2)</f>
        <v>1.2</v>
      </c>
      <c r="K23" s="117">
        <f t="shared" si="3"/>
        <v>1.3499999999999999</v>
      </c>
      <c r="L23" s="36">
        <f t="shared" si="8"/>
        <v>2.1128953255208329</v>
      </c>
      <c r="M23" s="32">
        <f>VLOOKUP(F23,TimeBasis!A:B,2,FALSE)*J23*H23</f>
        <v>3.1007812499999999E-2</v>
      </c>
      <c r="N23" s="30" t="str">
        <f t="shared" si="9"/>
        <v/>
      </c>
      <c r="O23" s="138">
        <f t="shared" si="10"/>
        <v>3.5001807002314145E-2</v>
      </c>
      <c r="P23" s="133">
        <f t="shared" si="11"/>
        <v>2.0778935185185188</v>
      </c>
      <c r="Q23" s="33">
        <v>2.7268518518518515E-2</v>
      </c>
      <c r="R23" s="53"/>
      <c r="S23" s="38"/>
      <c r="T23" s="24">
        <f>IF(R23&gt;0,R23+S23*Climbfaktor/1000,VLOOKUP($E23,CoursesBasis!B$3:J$14,9,FALSE))</f>
        <v>4.41</v>
      </c>
      <c r="U23" s="30">
        <f t="shared" si="12"/>
        <v>6.1833375325438811E-3</v>
      </c>
      <c r="V23" s="30">
        <f t="shared" si="4"/>
        <v>4.5802500241065788E-3</v>
      </c>
      <c r="W23" s="30"/>
      <c r="X23" s="30">
        <f>VLOOKUP(D23,Parameters!A:B,2,FALSE)*K23</f>
        <v>7.0312499999999993E-3</v>
      </c>
      <c r="Y23" s="18"/>
      <c r="Z23" s="157" t="str">
        <f t="shared" si="15"/>
        <v>Lexen, Johanna</v>
      </c>
      <c r="AA23" s="158"/>
      <c r="AB23" s="159"/>
      <c r="AC23" s="9">
        <f t="shared" ca="1" si="16"/>
        <v>0.1245040943287037</v>
      </c>
      <c r="AD23" s="34">
        <f t="shared" ca="1" si="17"/>
        <v>18.52</v>
      </c>
      <c r="AE23" s="35">
        <f t="shared" ca="1" si="18"/>
        <v>6.7226832790876732E-3</v>
      </c>
      <c r="AF23" s="35">
        <f t="shared" ca="1" si="19"/>
        <v>5.949101497150098E-3</v>
      </c>
      <c r="AG23" s="55">
        <f t="shared" si="20"/>
        <v>4</v>
      </c>
    </row>
    <row r="24" spans="1:33" x14ac:dyDescent="0.2">
      <c r="A24" s="42">
        <v>22</v>
      </c>
      <c r="B24" s="42" t="s">
        <v>34</v>
      </c>
      <c r="C24" s="22" t="str">
        <f>C$6&amp; IF($L25&gt;Endzeit," - nach Zielschluß","")</f>
        <v>Lexen, Gert</v>
      </c>
      <c r="D24" s="42" t="str">
        <f t="shared" si="14"/>
        <v>LG</v>
      </c>
      <c r="E24" s="46" t="s">
        <v>24</v>
      </c>
      <c r="F24" s="42" t="str">
        <f t="shared" si="0"/>
        <v>LDNLG</v>
      </c>
      <c r="G24" s="42">
        <f t="shared" si="13"/>
        <v>4</v>
      </c>
      <c r="H24" s="24">
        <f t="shared" si="1"/>
        <v>1.125</v>
      </c>
      <c r="I24" s="24">
        <f t="shared" si="2"/>
        <v>1.1000000000000001</v>
      </c>
      <c r="J24" s="24">
        <f>VLOOKUP(L24-Parameters!$B$25,Zeit,2)</f>
        <v>1.2</v>
      </c>
      <c r="K24" s="117">
        <f t="shared" si="3"/>
        <v>1.4850000000000001</v>
      </c>
      <c r="L24" s="36">
        <f t="shared" si="8"/>
        <v>2.1439031380208329</v>
      </c>
      <c r="M24" s="32">
        <f>VLOOKUP(F24,TimeBasis!A:B,2,FALSE)*J24*H24</f>
        <v>5.742000000000002E-2</v>
      </c>
      <c r="N24" s="30" t="str">
        <f t="shared" si="9"/>
        <v/>
      </c>
      <c r="O24" s="138">
        <f t="shared" si="10"/>
        <v>3.8741100983795462E-2</v>
      </c>
      <c r="P24" s="133">
        <f t="shared" si="11"/>
        <v>2.1051620370370374</v>
      </c>
      <c r="Q24" s="33">
        <v>0</v>
      </c>
      <c r="R24" s="53"/>
      <c r="S24" s="38"/>
      <c r="T24" s="24">
        <f>IF(R24&gt;0,R24+S24*Climbfaktor/1000,VLOOKUP($E24,CoursesBasis!B$3:J$14,9,FALSE))</f>
        <v>7.6800000000000006</v>
      </c>
      <c r="U24" s="30" t="str">
        <f t="shared" si="12"/>
        <v/>
      </c>
      <c r="V24" s="30" t="str">
        <f t="shared" si="4"/>
        <v/>
      </c>
      <c r="W24" s="30"/>
      <c r="X24" s="30">
        <f>VLOOKUP(D24,Parameters!A:B,2,FALSE)*K24</f>
        <v>7.4765625000000006E-3</v>
      </c>
      <c r="Y24" s="18"/>
      <c r="Z24" s="160"/>
      <c r="AA24" s="161"/>
      <c r="AB24" s="162"/>
      <c r="AC24" s="10">
        <f ca="1">SUM(AC18:AC23)+SUM(N:N)</f>
        <v>0.98171954282407414</v>
      </c>
    </row>
    <row r="25" spans="1:33" x14ac:dyDescent="0.2">
      <c r="A25" s="42">
        <v>23</v>
      </c>
      <c r="B25" s="42" t="s">
        <v>35</v>
      </c>
      <c r="C25" s="22" t="str">
        <f>C$7&amp; IF($L26&gt;Endzeit," - nach Zielschluß","")</f>
        <v>Baath, Veikko</v>
      </c>
      <c r="D25" s="42" t="str">
        <f t="shared" si="14"/>
        <v>BV</v>
      </c>
      <c r="E25" s="46" t="s">
        <v>21</v>
      </c>
      <c r="F25" s="42" t="str">
        <f t="shared" si="0"/>
        <v>SENBV</v>
      </c>
      <c r="G25" s="42">
        <f t="shared" si="13"/>
        <v>4</v>
      </c>
      <c r="H25" s="24">
        <f t="shared" si="1"/>
        <v>1.125</v>
      </c>
      <c r="I25" s="24">
        <f t="shared" si="2"/>
        <v>1</v>
      </c>
      <c r="J25" s="24">
        <f>VLOOKUP(L25-Parameters!$B$25,Zeit,2)</f>
        <v>1.1000000000000001</v>
      </c>
      <c r="K25" s="117">
        <f t="shared" si="3"/>
        <v>1.2375</v>
      </c>
      <c r="L25" s="36">
        <f t="shared" si="8"/>
        <v>2.2013231380208329</v>
      </c>
      <c r="M25" s="32">
        <f>VLOOKUP(F25,TimeBasis!A:B,2,FALSE)*J25*H25</f>
        <v>2.7476367187500003E-2</v>
      </c>
      <c r="N25" s="30" t="str">
        <f t="shared" si="9"/>
        <v/>
      </c>
      <c r="O25" s="138">
        <f t="shared" si="10"/>
        <v>9.6161100983795489E-2</v>
      </c>
      <c r="P25" s="133">
        <f t="shared" si="11"/>
        <v>2.1051620370370374</v>
      </c>
      <c r="Q25" s="33">
        <v>2.5752314814814815E-2</v>
      </c>
      <c r="R25" s="53"/>
      <c r="S25" s="38"/>
      <c r="T25" s="24">
        <f>IF(R25&gt;0,R25+S25*Climbfaktor/1000,VLOOKUP($E25,CoursesBasis!B$3:J$14,9,FALSE))</f>
        <v>4.41</v>
      </c>
      <c r="U25" s="30">
        <f t="shared" si="12"/>
        <v>5.839527168892248E-3</v>
      </c>
      <c r="V25" s="30">
        <f t="shared" si="4"/>
        <v>4.7188098334482809E-3</v>
      </c>
      <c r="W25" s="30"/>
      <c r="X25" s="30">
        <f>VLOOKUP(D25,Parameters!A:B,2,FALSE)*K25</f>
        <v>6.2304687500000008E-3</v>
      </c>
      <c r="Y25" s="18"/>
    </row>
    <row r="26" spans="1:33" x14ac:dyDescent="0.2">
      <c r="A26" s="42">
        <v>24</v>
      </c>
      <c r="B26" s="42" t="s">
        <v>37</v>
      </c>
      <c r="C26" s="22" t="str">
        <f>C$8&amp; IF($L27&gt;Endzeit," - nach Zielschluß","")</f>
        <v>Lexen, Johanna</v>
      </c>
      <c r="D26" s="42" t="str">
        <f t="shared" si="14"/>
        <v>LJ</v>
      </c>
      <c r="E26" s="46" t="s">
        <v>21</v>
      </c>
      <c r="F26" s="42" t="str">
        <f t="shared" si="0"/>
        <v>SENLJ</v>
      </c>
      <c r="G26" s="42">
        <f t="shared" si="13"/>
        <v>4</v>
      </c>
      <c r="H26" s="24">
        <f t="shared" si="1"/>
        <v>1.125</v>
      </c>
      <c r="I26" s="24">
        <f t="shared" si="2"/>
        <v>1</v>
      </c>
      <c r="J26" s="24">
        <f>VLOOKUP(L26-Parameters!$B$25,Zeit,2)</f>
        <v>1.1000000000000001</v>
      </c>
      <c r="K26" s="117">
        <f t="shared" si="3"/>
        <v>1.2375</v>
      </c>
      <c r="L26" s="36">
        <f t="shared" si="8"/>
        <v>2.2287995052083329</v>
      </c>
      <c r="M26" s="32">
        <f>VLOOKUP(F26,TimeBasis!A:B,2,FALSE)*J26*H26</f>
        <v>3.2213671875000002E-2</v>
      </c>
      <c r="N26" s="30" t="str">
        <f t="shared" si="9"/>
        <v/>
      </c>
      <c r="O26" s="138">
        <f t="shared" si="10"/>
        <v>9.7885153356480625E-2</v>
      </c>
      <c r="P26" s="133">
        <f t="shared" si="11"/>
        <v>2.1309143518518523</v>
      </c>
      <c r="Q26" s="33">
        <v>3.0937499999999996E-2</v>
      </c>
      <c r="R26" s="53"/>
      <c r="S26" s="38"/>
      <c r="T26" s="24">
        <f>IF(R26&gt;0,R26+S26*Climbfaktor/1000,VLOOKUP($E26,CoursesBasis!B$3:J$14,9,FALSE))</f>
        <v>4.41</v>
      </c>
      <c r="U26" s="30">
        <f t="shared" si="12"/>
        <v>7.0153061224489787E-3</v>
      </c>
      <c r="V26" s="30">
        <f t="shared" si="4"/>
        <v>5.6689342403628109E-3</v>
      </c>
      <c r="W26" s="30"/>
      <c r="X26" s="30">
        <f>VLOOKUP(D26,Parameters!A:B,2,FALSE)*K26</f>
        <v>7.3046875000000004E-3</v>
      </c>
      <c r="Y26" s="18"/>
      <c r="Z26" s="151" t="s">
        <v>62</v>
      </c>
      <c r="AA26" s="152"/>
      <c r="AB26" s="153"/>
      <c r="AC26" s="9">
        <f>Parameters!B27</f>
        <v>1.8541666666666667</v>
      </c>
    </row>
    <row r="27" spans="1:33" x14ac:dyDescent="0.2">
      <c r="A27" s="42">
        <v>25</v>
      </c>
      <c r="B27" s="42" t="s">
        <v>28</v>
      </c>
      <c r="C27" s="22" t="str">
        <f>C$3&amp; IF($L28&gt;Endzeit," - nach Zielschluß","")</f>
        <v>Ehrl, Lionel</v>
      </c>
      <c r="D27" s="42" t="str">
        <f t="shared" si="14"/>
        <v>EL</v>
      </c>
      <c r="E27" s="46" t="s">
        <v>22</v>
      </c>
      <c r="F27" s="42" t="str">
        <f t="shared" si="0"/>
        <v>SDNEL</v>
      </c>
      <c r="G27" s="42">
        <f t="shared" si="13"/>
        <v>5</v>
      </c>
      <c r="H27" s="24">
        <f t="shared" si="1"/>
        <v>1.1666666666666667</v>
      </c>
      <c r="I27" s="24">
        <f t="shared" si="2"/>
        <v>1.1000000000000001</v>
      </c>
      <c r="J27" s="24">
        <f>VLOOKUP(L27-Parameters!$B$25,Zeit,2)</f>
        <v>1</v>
      </c>
      <c r="K27" s="117">
        <f t="shared" si="3"/>
        <v>1.2833333333333334</v>
      </c>
      <c r="L27" s="36">
        <f t="shared" si="8"/>
        <v>2.261013177083333</v>
      </c>
      <c r="M27" s="32">
        <f>VLOOKUP(F27,TimeBasis!A:B,2,FALSE)*J27*H27</f>
        <v>2.8732407407407411E-2</v>
      </c>
      <c r="N27" s="30" t="str">
        <f t="shared" si="9"/>
        <v/>
      </c>
      <c r="O27" s="138">
        <f t="shared" si="10"/>
        <v>9.9161325231480912E-2</v>
      </c>
      <c r="P27" s="133">
        <f t="shared" si="11"/>
        <v>2.1618518518518521</v>
      </c>
      <c r="Q27" s="33">
        <v>3.8807870370370375E-2</v>
      </c>
      <c r="R27" s="53"/>
      <c r="S27" s="38"/>
      <c r="T27" s="24">
        <f>IF(R27&gt;0,R27+S27*Climbfaktor/1000,VLOOKUP($E27,CoursesBasis!B$3:J$14,9,FALSE))</f>
        <v>4.96</v>
      </c>
      <c r="U27" s="30">
        <f t="shared" si="12"/>
        <v>7.8241674133811244E-3</v>
      </c>
      <c r="V27" s="30">
        <f t="shared" si="4"/>
        <v>6.0967538286086677E-3</v>
      </c>
      <c r="W27" s="30"/>
      <c r="X27" s="30">
        <f>VLOOKUP(D27,Parameters!A:B,2,FALSE)*K27</f>
        <v>5.7928240740740752E-3</v>
      </c>
      <c r="Y27" s="18"/>
      <c r="Z27" s="151" t="s">
        <v>0</v>
      </c>
      <c r="AA27" s="152"/>
      <c r="AB27" s="153"/>
      <c r="AC27" s="9">
        <f>Parameters!B29</f>
        <v>2.375</v>
      </c>
    </row>
    <row r="28" spans="1:33" x14ac:dyDescent="0.2">
      <c r="A28" s="42">
        <v>26</v>
      </c>
      <c r="B28" s="42" t="s">
        <v>30</v>
      </c>
      <c r="C28" s="22" t="str">
        <f>C$4&amp; IF($L29&gt;Endzeit," - nach Zielschluß","")</f>
        <v>Schneehage, Carsten</v>
      </c>
      <c r="D28" s="42" t="str">
        <f t="shared" si="14"/>
        <v>SC</v>
      </c>
      <c r="E28" s="46" t="s">
        <v>23</v>
      </c>
      <c r="F28" s="42" t="str">
        <f t="shared" si="0"/>
        <v>LENSC</v>
      </c>
      <c r="G28" s="42">
        <f t="shared" si="13"/>
        <v>5</v>
      </c>
      <c r="H28" s="24">
        <f t="shared" si="1"/>
        <v>1.1666666666666667</v>
      </c>
      <c r="I28" s="24">
        <f t="shared" si="2"/>
        <v>1</v>
      </c>
      <c r="J28" s="24">
        <f>VLOOKUP(L28-Parameters!$B$25,Zeit,2)</f>
        <v>1</v>
      </c>
      <c r="K28" s="117">
        <f t="shared" si="3"/>
        <v>1.1666666666666667</v>
      </c>
      <c r="L28" s="36">
        <f t="shared" si="8"/>
        <v>2.2897455844907406</v>
      </c>
      <c r="M28" s="32">
        <f>VLOOKUP(F28,TimeBasis!A:B,2,FALSE)*J28*H28</f>
        <v>4.0177083333333342E-2</v>
      </c>
      <c r="N28" s="30" t="str">
        <f t="shared" si="9"/>
        <v/>
      </c>
      <c r="O28" s="138">
        <f t="shared" si="10"/>
        <v>8.9085862268518223E-2</v>
      </c>
      <c r="P28" s="133">
        <f t="shared" si="11"/>
        <v>2.2006597222222224</v>
      </c>
      <c r="Q28" s="33">
        <v>3.4317129629629628E-2</v>
      </c>
      <c r="R28" s="53"/>
      <c r="S28" s="38"/>
      <c r="T28" s="24">
        <f>IF(R28&gt;0,R28+S28*Climbfaktor/1000,VLOOKUP($E28,CoursesBasis!B$3:J$14,9,FALSE))</f>
        <v>6.8400000000000007</v>
      </c>
      <c r="U28" s="30">
        <f t="shared" si="12"/>
        <v>5.0171242148581326E-3</v>
      </c>
      <c r="V28" s="30">
        <f t="shared" si="4"/>
        <v>4.3003921841641137E-3</v>
      </c>
      <c r="W28" s="30"/>
      <c r="X28" s="30">
        <f>VLOOKUP(D28,Parameters!A:B,2,FALSE)*K28</f>
        <v>5.8738425925925937E-3</v>
      </c>
      <c r="Y28" s="18"/>
      <c r="AC28" s="25"/>
    </row>
    <row r="29" spans="1:33" x14ac:dyDescent="0.2">
      <c r="A29" s="42">
        <v>27</v>
      </c>
      <c r="B29" s="42" t="s">
        <v>32</v>
      </c>
      <c r="C29" s="22" t="str">
        <f>C$5&amp; IF($L30&gt;Endzeit," - nach Zielschluß","")</f>
        <v>Lorenz-Baath, Katrin</v>
      </c>
      <c r="D29" s="42" t="str">
        <f t="shared" si="14"/>
        <v>BK</v>
      </c>
      <c r="E29" s="46" t="s">
        <v>21</v>
      </c>
      <c r="F29" s="42" t="str">
        <f t="shared" si="0"/>
        <v>SENBK</v>
      </c>
      <c r="G29" s="42">
        <f t="shared" si="13"/>
        <v>5</v>
      </c>
      <c r="H29" s="24">
        <f t="shared" si="1"/>
        <v>1.1666666666666667</v>
      </c>
      <c r="I29" s="24">
        <f t="shared" si="2"/>
        <v>1</v>
      </c>
      <c r="J29" s="24">
        <f>VLOOKUP(L29-Parameters!$B$25,Zeit,2)</f>
        <v>1</v>
      </c>
      <c r="K29" s="117">
        <f t="shared" si="3"/>
        <v>1.1666666666666667</v>
      </c>
      <c r="L29" s="36">
        <f t="shared" si="8"/>
        <v>2.3299226678240741</v>
      </c>
      <c r="M29" s="32">
        <f>VLOOKUP(F29,TimeBasis!A:B,2,FALSE)*J29*H29</f>
        <v>2.6796875000000001E-2</v>
      </c>
      <c r="N29" s="30" t="str">
        <f t="shared" si="9"/>
        <v/>
      </c>
      <c r="O29" s="138">
        <f t="shared" si="10"/>
        <v>9.4945815972222292E-2</v>
      </c>
      <c r="P29" s="133">
        <f t="shared" si="11"/>
        <v>2.2349768518518518</v>
      </c>
      <c r="Q29" s="33">
        <v>3.5104166666666665E-2</v>
      </c>
      <c r="R29" s="53"/>
      <c r="S29" s="38"/>
      <c r="T29" s="24">
        <f>IF(R29&gt;0,R29+S29*Climbfaktor/1000,VLOOKUP($E29,CoursesBasis!B$3:J$14,9,FALSE))</f>
        <v>4.41</v>
      </c>
      <c r="U29" s="30">
        <f t="shared" si="12"/>
        <v>7.9601284958427804E-3</v>
      </c>
      <c r="V29" s="30">
        <f t="shared" si="4"/>
        <v>6.8229672821509546E-3</v>
      </c>
      <c r="W29" s="30"/>
      <c r="X29" s="30">
        <f>VLOOKUP(D29,Parameters!A:B,2,FALSE)*K29</f>
        <v>6.076388888888889E-3</v>
      </c>
      <c r="Y29" s="18"/>
      <c r="AB29" s="13">
        <v>3.5486111111111114E-2</v>
      </c>
    </row>
    <row r="30" spans="1:33" x14ac:dyDescent="0.2">
      <c r="A30" s="42">
        <v>28</v>
      </c>
      <c r="B30" s="42" t="s">
        <v>34</v>
      </c>
      <c r="C30" s="22" t="str">
        <f>C$6&amp; IF($L31&gt;Endzeit," - nach Zielschluß","")</f>
        <v>Lexen, Gert - nach Zielschluß</v>
      </c>
      <c r="D30" s="42" t="str">
        <f t="shared" si="14"/>
        <v>LG</v>
      </c>
      <c r="E30" s="46" t="s">
        <v>24</v>
      </c>
      <c r="F30" s="42" t="str">
        <f t="shared" si="0"/>
        <v>LDNLG</v>
      </c>
      <c r="G30" s="42">
        <f t="shared" si="13"/>
        <v>5</v>
      </c>
      <c r="H30" s="24">
        <f t="shared" si="1"/>
        <v>1.1666666666666667</v>
      </c>
      <c r="I30" s="24">
        <f t="shared" si="2"/>
        <v>1.1000000000000001</v>
      </c>
      <c r="J30" s="24">
        <f>VLOOKUP(L30-Parameters!$B$25,Zeit,2)</f>
        <v>1</v>
      </c>
      <c r="K30" s="117">
        <f t="shared" si="3"/>
        <v>1.2833333333333334</v>
      </c>
      <c r="L30" s="36">
        <f t="shared" si="8"/>
        <v>2.3567195428240741</v>
      </c>
      <c r="M30" s="32">
        <f>VLOOKUP(F30,TimeBasis!A:B,2,FALSE)*J30*H30</f>
        <v>4.9622222222222241E-2</v>
      </c>
      <c r="N30" s="30" t="str">
        <f t="shared" si="9"/>
        <v/>
      </c>
      <c r="O30" s="138">
        <f t="shared" si="10"/>
        <v>8.6638524305555631E-2</v>
      </c>
      <c r="P30" s="133">
        <f t="shared" si="11"/>
        <v>2.2700810185185185</v>
      </c>
      <c r="Q30" s="33">
        <v>0</v>
      </c>
      <c r="R30" s="53"/>
      <c r="S30" s="38"/>
      <c r="T30" s="24">
        <f>IF(R30&gt;0,R30+S30*Climbfaktor/1000,VLOOKUP($E30,CoursesBasis!B$3:J$14,9,FALSE))</f>
        <v>7.6800000000000006</v>
      </c>
      <c r="U30" s="30" t="str">
        <f t="shared" si="12"/>
        <v/>
      </c>
      <c r="V30" s="30" t="str">
        <f t="shared" si="4"/>
        <v/>
      </c>
      <c r="W30" s="30"/>
      <c r="X30" s="30">
        <f>VLOOKUP(D30,Parameters!A:B,2,FALSE)*K30</f>
        <v>6.4612268518518525E-3</v>
      </c>
      <c r="Y30" s="18"/>
      <c r="AB30" s="13" t="e">
        <f>AB29-N17</f>
        <v>#VALUE!</v>
      </c>
    </row>
    <row r="31" spans="1:33" x14ac:dyDescent="0.2">
      <c r="A31" s="42">
        <v>29</v>
      </c>
      <c r="B31" s="42" t="s">
        <v>35</v>
      </c>
      <c r="C31" s="22" t="str">
        <f>C$7&amp; IF($L32&gt;Endzeit," - nach Zielschluß","")</f>
        <v>Baath, Veikko - nach Zielschluß</v>
      </c>
      <c r="D31" s="42" t="str">
        <f t="shared" si="14"/>
        <v>BV</v>
      </c>
      <c r="E31" s="46" t="s">
        <v>24</v>
      </c>
      <c r="F31" s="42" t="str">
        <f t="shared" si="0"/>
        <v>LDNBV</v>
      </c>
      <c r="G31" s="42">
        <f t="shared" si="13"/>
        <v>5</v>
      </c>
      <c r="H31" s="24">
        <f t="shared" si="1"/>
        <v>1.1666666666666667</v>
      </c>
      <c r="I31" s="24">
        <f t="shared" si="2"/>
        <v>1.1000000000000001</v>
      </c>
      <c r="J31" s="24">
        <f>VLOOKUP(L31-Parameters!$B$25,Zeit,2)</f>
        <v>1</v>
      </c>
      <c r="K31" s="117">
        <f t="shared" si="3"/>
        <v>1.2833333333333334</v>
      </c>
      <c r="L31" s="36">
        <f t="shared" si="8"/>
        <v>2.4063417650462964</v>
      </c>
      <c r="M31" s="32">
        <f>VLOOKUP(F31,TimeBasis!A:B,2,FALSE)*J31*H31</f>
        <v>4.9622222222222241E-2</v>
      </c>
      <c r="N31" s="30" t="str">
        <f t="shared" si="9"/>
        <v/>
      </c>
      <c r="O31" s="138">
        <f t="shared" si="10"/>
        <v>0.13626074652777787</v>
      </c>
      <c r="P31" s="133">
        <f t="shared" si="11"/>
        <v>2.2700810185185185</v>
      </c>
      <c r="Q31" s="33">
        <v>4.6423611111111117E-2</v>
      </c>
      <c r="R31" s="53"/>
      <c r="S31" s="38"/>
      <c r="T31" s="24">
        <f>IF(R31&gt;0,R31+S31*Climbfaktor/1000,VLOOKUP($E31,CoursesBasis!B$3:J$14,9,FALSE))</f>
        <v>7.6800000000000006</v>
      </c>
      <c r="U31" s="30">
        <f t="shared" si="12"/>
        <v>6.0447410300925927E-3</v>
      </c>
      <c r="V31" s="30">
        <f t="shared" si="4"/>
        <v>4.7101878156565651E-3</v>
      </c>
      <c r="W31" s="30"/>
      <c r="X31" s="30">
        <f>VLOOKUP(D31,Parameters!A:B,2,FALSE)*K31</f>
        <v>6.4612268518518525E-3</v>
      </c>
      <c r="Y31" s="18"/>
    </row>
    <row r="32" spans="1:33" x14ac:dyDescent="0.2">
      <c r="A32" s="42">
        <v>30</v>
      </c>
      <c r="B32" s="42" t="s">
        <v>37</v>
      </c>
      <c r="C32" s="22" t="str">
        <f>C$8&amp; IF($L33&gt;Endzeit," - nach Zielschluß","")</f>
        <v>Lexen, Johanna - nach Zielschluß</v>
      </c>
      <c r="D32" s="42" t="str">
        <f t="shared" si="14"/>
        <v>LJ</v>
      </c>
      <c r="E32" s="46" t="s">
        <v>21</v>
      </c>
      <c r="F32" s="42" t="str">
        <f t="shared" si="0"/>
        <v>SENLJ</v>
      </c>
      <c r="G32" s="42">
        <f t="shared" ref="G32:G37" si="21">G26+1</f>
        <v>5</v>
      </c>
      <c r="H32" s="24">
        <f t="shared" si="1"/>
        <v>1.1666666666666667</v>
      </c>
      <c r="I32" s="24">
        <f t="shared" si="2"/>
        <v>1</v>
      </c>
      <c r="J32" s="24">
        <f>VLOOKUP(L32-Parameters!$B$25,Zeit,2)</f>
        <v>1</v>
      </c>
      <c r="K32" s="117">
        <f t="shared" si="3"/>
        <v>1.1666666666666667</v>
      </c>
      <c r="L32" s="36">
        <f t="shared" si="8"/>
        <v>2.4559639872685186</v>
      </c>
      <c r="M32" s="32">
        <f>VLOOKUP(F32,TimeBasis!A:B,2,FALSE)*J32*H32</f>
        <v>3.0369791666666666E-2</v>
      </c>
      <c r="N32" s="30" t="str">
        <f t="shared" si="9"/>
        <v/>
      </c>
      <c r="O32" s="138">
        <f t="shared" si="10"/>
        <v>0.13945935763888917</v>
      </c>
      <c r="P32" s="133">
        <f t="shared" si="11"/>
        <v>2.3165046296296294</v>
      </c>
      <c r="Q32" s="33">
        <v>2.4641203703703703E-2</v>
      </c>
      <c r="R32" s="53"/>
      <c r="S32" s="38"/>
      <c r="T32" s="24">
        <f>IF(R32&gt;0,R32+S32*Climbfaktor/1000,VLOOKUP($E32,CoursesBasis!B$3:J$14,9,FALSE))</f>
        <v>4.41</v>
      </c>
      <c r="U32" s="30">
        <f t="shared" si="12"/>
        <v>5.5875745359872343E-3</v>
      </c>
      <c r="V32" s="30">
        <f t="shared" si="4"/>
        <v>4.7893496022747718E-3</v>
      </c>
      <c r="W32" s="30"/>
      <c r="X32" s="30">
        <f>VLOOKUP(D32,Parameters!A:B,2,FALSE)*K32</f>
        <v>6.8865740740740745E-3</v>
      </c>
      <c r="Y32" s="18"/>
    </row>
    <row r="33" spans="1:24" x14ac:dyDescent="0.2">
      <c r="A33" s="42">
        <v>31</v>
      </c>
      <c r="B33" s="42" t="s">
        <v>28</v>
      </c>
      <c r="C33" s="22" t="str">
        <f>C$3&amp; IF($L34&gt;Endzeit," - nach Zielschluß","")</f>
        <v>Ehrl, Lionel - nach Zielschluß</v>
      </c>
      <c r="D33" s="42" t="str">
        <f t="shared" si="14"/>
        <v>EL</v>
      </c>
      <c r="E33" s="46" t="s">
        <v>18</v>
      </c>
      <c r="F33" s="42" t="str">
        <f t="shared" si="0"/>
        <v>LDEL</v>
      </c>
      <c r="G33" s="42">
        <f t="shared" si="21"/>
        <v>6</v>
      </c>
      <c r="H33" s="24">
        <f t="shared" si="1"/>
        <v>1.2083333333333333</v>
      </c>
      <c r="I33" s="24">
        <f t="shared" si="2"/>
        <v>1.1000000000000001</v>
      </c>
      <c r="J33" s="24">
        <f>VLOOKUP(L33-Parameters!$B$25,Zeit,2)</f>
        <v>1</v>
      </c>
      <c r="K33" s="117">
        <f t="shared" si="3"/>
        <v>1.3291666666666666</v>
      </c>
      <c r="L33" s="36">
        <f t="shared" si="8"/>
        <v>2.4863337789351854</v>
      </c>
      <c r="M33" s="32">
        <f>VLOOKUP(F33,TimeBasis!A:B,2,FALSE)*J33*H33</f>
        <v>5.711724537037037E-2</v>
      </c>
      <c r="N33" s="30"/>
      <c r="O33" s="138">
        <f t="shared" si="10"/>
        <v>0.14518794560185233</v>
      </c>
      <c r="P33" s="133">
        <f t="shared" si="11"/>
        <v>2.341145833333333</v>
      </c>
      <c r="Q33" s="33"/>
      <c r="R33" s="53"/>
      <c r="S33" s="38"/>
      <c r="T33" s="24">
        <f>IF(R33&gt;0,R33+S33*Climbfaktor/1000,VLOOKUP($E33,CoursesBasis!B$3:J$14,9,FALSE))</f>
        <v>9.52</v>
      </c>
      <c r="U33" s="30" t="str">
        <f t="shared" si="12"/>
        <v/>
      </c>
      <c r="V33" s="30" t="str">
        <f t="shared" si="4"/>
        <v/>
      </c>
      <c r="W33" s="30"/>
      <c r="X33" s="30">
        <f>VLOOKUP(D33,Parameters!A:B,2,FALSE)*K33</f>
        <v>5.9997106481481481E-3</v>
      </c>
    </row>
    <row r="34" spans="1:24" x14ac:dyDescent="0.2">
      <c r="A34" s="42">
        <v>32</v>
      </c>
      <c r="B34" s="42" t="s">
        <v>30</v>
      </c>
      <c r="C34" s="22" t="str">
        <f>C$4&amp; IF($L35&gt;Endzeit," - nach Zielschluß","")</f>
        <v>Schneehage, Carsten - nach Zielschluß</v>
      </c>
      <c r="D34" s="42" t="str">
        <f t="shared" si="14"/>
        <v>SC</v>
      </c>
      <c r="E34" s="46" t="s">
        <v>18</v>
      </c>
      <c r="F34" s="42" t="str">
        <f t="shared" si="0"/>
        <v>LDSC</v>
      </c>
      <c r="G34" s="42">
        <f t="shared" si="21"/>
        <v>6</v>
      </c>
      <c r="H34" s="24">
        <f t="shared" si="1"/>
        <v>1.2083333333333333</v>
      </c>
      <c r="I34" s="24">
        <f t="shared" si="2"/>
        <v>1.1000000000000001</v>
      </c>
      <c r="J34" s="24">
        <f>VLOOKUP(L34-Parameters!$B$25,Zeit,2)</f>
        <v>1</v>
      </c>
      <c r="K34" s="117">
        <f t="shared" si="3"/>
        <v>1.3291666666666666</v>
      </c>
      <c r="L34" s="36">
        <f t="shared" si="8"/>
        <v>2.5434510243055559</v>
      </c>
      <c r="M34" s="32">
        <f>VLOOKUP(F34,TimeBasis!A:B,2,FALSE)*J34*H34</f>
        <v>6.3707696759259261E-2</v>
      </c>
      <c r="N34" s="30"/>
      <c r="O34" s="138">
        <f t="shared" si="10"/>
        <v>0.20230519097222288</v>
      </c>
      <c r="P34" s="133">
        <f t="shared" si="11"/>
        <v>2.341145833333333</v>
      </c>
      <c r="Q34" s="33"/>
      <c r="R34" s="53"/>
      <c r="S34" s="38"/>
      <c r="T34" s="24">
        <f>IF(R34&gt;0,R34+S34*Climbfaktor/1000,VLOOKUP($E34,CoursesBasis!B$3:J$14,9,FALSE))</f>
        <v>9.52</v>
      </c>
      <c r="U34" s="30" t="str">
        <f t="shared" si="12"/>
        <v/>
      </c>
      <c r="V34" s="30" t="str">
        <f t="shared" si="4"/>
        <v/>
      </c>
      <c r="W34" s="30"/>
      <c r="X34" s="30">
        <f>VLOOKUP(D34,Parameters!A:B,2,FALSE)*K34</f>
        <v>6.6919849537037035E-3</v>
      </c>
    </row>
    <row r="35" spans="1:24" x14ac:dyDescent="0.2">
      <c r="A35" s="42">
        <v>33</v>
      </c>
      <c r="B35" s="42" t="s">
        <v>32</v>
      </c>
      <c r="C35" s="22" t="str">
        <f>C$5&amp; IF($L36&gt;Endzeit," - nach Zielschluß","")</f>
        <v>Lorenz-Baath, Katrin - nach Zielschluß</v>
      </c>
      <c r="D35" s="42" t="str">
        <f t="shared" si="14"/>
        <v>BK</v>
      </c>
      <c r="E35" s="46" t="s">
        <v>25</v>
      </c>
      <c r="F35" s="42" t="str">
        <f t="shared" ref="F35:F40" si="22">E35&amp;D35</f>
        <v>FFBK</v>
      </c>
      <c r="G35" s="42">
        <f t="shared" si="21"/>
        <v>6</v>
      </c>
      <c r="H35" s="24">
        <f t="shared" si="1"/>
        <v>1.2083333333333333</v>
      </c>
      <c r="I35" s="24">
        <f t="shared" si="2"/>
        <v>1</v>
      </c>
      <c r="J35" s="24">
        <f>VLOOKUP(L35-Parameters!$B$25,Zeit,2)</f>
        <v>1</v>
      </c>
      <c r="K35" s="117">
        <f t="shared" si="3"/>
        <v>1.2083333333333333</v>
      </c>
      <c r="L35" s="36">
        <f t="shared" si="8"/>
        <v>2.6071587210648151</v>
      </c>
      <c r="M35" s="32">
        <f>VLOOKUP(F35,TimeBasis!A:B,2,FALSE)*J35*H35</f>
        <v>3.5935329861111108E-2</v>
      </c>
      <c r="N35" s="30"/>
      <c r="O35" s="138">
        <f t="shared" si="10"/>
        <v>0.26601288773148202</v>
      </c>
      <c r="P35" s="133">
        <f t="shared" si="11"/>
        <v>2.341145833333333</v>
      </c>
      <c r="Q35" s="33"/>
      <c r="R35" s="53"/>
      <c r="S35" s="38"/>
      <c r="T35" s="24">
        <f>IF(R35&gt;0,R35+S35*Climbfaktor/1000,VLOOKUP($E35,CoursesBasis!B$3:J$14,9,FALSE))</f>
        <v>5.71</v>
      </c>
      <c r="U35" s="30" t="str">
        <f t="shared" si="12"/>
        <v/>
      </c>
      <c r="V35" s="30" t="str">
        <f t="shared" si="4"/>
        <v/>
      </c>
      <c r="W35" s="30"/>
      <c r="X35" s="30">
        <f>VLOOKUP(D35,Parameters!A:B,2,FALSE)*K35</f>
        <v>6.2934027777777771E-3</v>
      </c>
    </row>
    <row r="36" spans="1:24" x14ac:dyDescent="0.2">
      <c r="A36" s="42">
        <v>34</v>
      </c>
      <c r="B36" s="42" t="s">
        <v>34</v>
      </c>
      <c r="C36" s="22" t="str">
        <f>C$6&amp; IF($L37&gt;Endzeit," - nach Zielschluß","")</f>
        <v>Lexen, Gert - nach Zielschluß</v>
      </c>
      <c r="D36" s="42" t="str">
        <f t="shared" si="14"/>
        <v>LG</v>
      </c>
      <c r="E36" s="46" t="s">
        <v>25</v>
      </c>
      <c r="F36" s="42" t="str">
        <f t="shared" si="22"/>
        <v>FFLG</v>
      </c>
      <c r="G36" s="42">
        <f t="shared" si="21"/>
        <v>6</v>
      </c>
      <c r="H36" s="24">
        <f t="shared" si="1"/>
        <v>1.2083333333333333</v>
      </c>
      <c r="I36" s="24">
        <f t="shared" si="2"/>
        <v>1</v>
      </c>
      <c r="J36" s="24">
        <f>VLOOKUP(L36-Parameters!$B$25,Zeit,2)</f>
        <v>1</v>
      </c>
      <c r="K36" s="117">
        <f t="shared" si="3"/>
        <v>1.2083333333333333</v>
      </c>
      <c r="L36" s="36">
        <f t="shared" si="8"/>
        <v>2.6430940509259262</v>
      </c>
      <c r="M36" s="32">
        <f>VLOOKUP(F36,TimeBasis!A:B,2,FALSE)*J36*H36</f>
        <v>3.4737485532407408E-2</v>
      </c>
      <c r="N36" s="30"/>
      <c r="O36" s="138">
        <f t="shared" si="10"/>
        <v>0.30194821759259316</v>
      </c>
      <c r="P36" s="133">
        <f t="shared" si="11"/>
        <v>2.341145833333333</v>
      </c>
      <c r="Q36" s="33"/>
      <c r="R36" s="53"/>
      <c r="S36" s="38"/>
      <c r="T36" s="24">
        <f>IF(R36&gt;0,R36+S36*Climbfaktor/1000,VLOOKUP($E36,CoursesBasis!B$3:J$14,9,FALSE))</f>
        <v>5.71</v>
      </c>
      <c r="U36" s="30" t="str">
        <f t="shared" si="12"/>
        <v/>
      </c>
      <c r="V36" s="30" t="str">
        <f t="shared" si="4"/>
        <v/>
      </c>
      <c r="W36" s="30"/>
      <c r="X36" s="30">
        <f>VLOOKUP(D36,Parameters!A:B,2,FALSE)*K36</f>
        <v>6.083622685185185E-3</v>
      </c>
    </row>
    <row r="37" spans="1:24" x14ac:dyDescent="0.2">
      <c r="A37" s="42">
        <v>35</v>
      </c>
      <c r="B37" s="42" t="s">
        <v>35</v>
      </c>
      <c r="C37" s="22" t="str">
        <f>C$7&amp; IF($L38&gt;Endzeit," - nach Zielschluß","")</f>
        <v>Baath, Veikko - nach Zielschluß</v>
      </c>
      <c r="D37" s="42" t="str">
        <f t="shared" si="14"/>
        <v>BV</v>
      </c>
      <c r="E37" s="46" t="s">
        <v>25</v>
      </c>
      <c r="F37" s="42" t="str">
        <f t="shared" si="22"/>
        <v>FFBV</v>
      </c>
      <c r="G37" s="42">
        <f t="shared" si="21"/>
        <v>6</v>
      </c>
      <c r="H37" s="24">
        <f t="shared" si="1"/>
        <v>1.2083333333333333</v>
      </c>
      <c r="I37" s="24">
        <f t="shared" si="2"/>
        <v>1</v>
      </c>
      <c r="J37" s="24">
        <f>VLOOKUP(L37-Parameters!$B$25,Zeit,2)</f>
        <v>1</v>
      </c>
      <c r="K37" s="117">
        <f t="shared" si="3"/>
        <v>1.2083333333333333</v>
      </c>
      <c r="L37" s="36">
        <f t="shared" si="8"/>
        <v>2.6778315364583336</v>
      </c>
      <c r="M37" s="32">
        <f>VLOOKUP(F37,TimeBasis!A:B,2,FALSE)*J37*H37</f>
        <v>3.4737485532407408E-2</v>
      </c>
      <c r="N37" s="30"/>
      <c r="O37" s="138">
        <f t="shared" si="10"/>
        <v>0.33668570312500057</v>
      </c>
      <c r="P37" s="133">
        <f t="shared" si="11"/>
        <v>2.341145833333333</v>
      </c>
      <c r="Q37" s="33"/>
      <c r="R37" s="53"/>
      <c r="S37" s="38"/>
      <c r="T37" s="24">
        <f>IF(R37&gt;0,R37+S37*Climbfaktor/1000,VLOOKUP($E37,CoursesBasis!B$3:J$14,9,FALSE))</f>
        <v>5.71</v>
      </c>
      <c r="U37" s="30" t="str">
        <f t="shared" si="12"/>
        <v/>
      </c>
      <c r="V37" s="30" t="str">
        <f t="shared" si="4"/>
        <v/>
      </c>
      <c r="W37" s="30"/>
      <c r="X37" s="30">
        <f>VLOOKUP(D37,Parameters!A:B,2,FALSE)*K37</f>
        <v>6.083622685185185E-3</v>
      </c>
    </row>
    <row r="38" spans="1:24" x14ac:dyDescent="0.2">
      <c r="A38" s="42">
        <v>36</v>
      </c>
      <c r="B38" s="42" t="s">
        <v>37</v>
      </c>
      <c r="C38" s="22" t="str">
        <f>C$8&amp; IF($L39&gt;Endzeit," - nach Zielschluß","")</f>
        <v>Lexen, Johanna - nach Zielschluß</v>
      </c>
      <c r="D38" s="42" t="str">
        <f t="shared" si="14"/>
        <v>LJ</v>
      </c>
      <c r="E38" s="46" t="s">
        <v>25</v>
      </c>
      <c r="F38" s="42" t="str">
        <f t="shared" si="22"/>
        <v>FFLJ</v>
      </c>
      <c r="G38" s="42">
        <f t="shared" si="13"/>
        <v>6</v>
      </c>
      <c r="H38" s="24">
        <f t="shared" si="1"/>
        <v>1.2083333333333333</v>
      </c>
      <c r="I38" s="24">
        <f t="shared" si="2"/>
        <v>1</v>
      </c>
      <c r="J38" s="24">
        <f>VLOOKUP(L38-Parameters!$B$25,Zeit,2)</f>
        <v>1</v>
      </c>
      <c r="K38" s="117">
        <f t="shared" si="3"/>
        <v>1.2083333333333333</v>
      </c>
      <c r="L38" s="36">
        <f t="shared" si="8"/>
        <v>2.712569021990741</v>
      </c>
      <c r="M38" s="32">
        <f>VLOOKUP(F38,TimeBasis!A:B,2,FALSE)*J38*H38</f>
        <v>4.0726707175925921E-2</v>
      </c>
      <c r="N38" s="30"/>
      <c r="O38" s="138">
        <f t="shared" si="10"/>
        <v>0.37142318865740798</v>
      </c>
      <c r="P38" s="133">
        <f t="shared" si="11"/>
        <v>2.341145833333333</v>
      </c>
      <c r="Q38" s="33"/>
      <c r="R38" s="53"/>
      <c r="S38" s="38"/>
      <c r="T38" s="24">
        <f>IF(R38&gt;0,R38+S38*Climbfaktor/1000,VLOOKUP($E38,CoursesBasis!B$3:J$14,9,FALSE))</f>
        <v>5.71</v>
      </c>
      <c r="U38" s="30" t="str">
        <f t="shared" si="12"/>
        <v/>
      </c>
      <c r="V38" s="30" t="str">
        <f t="shared" si="4"/>
        <v/>
      </c>
      <c r="W38" s="30"/>
      <c r="X38" s="30">
        <f>VLOOKUP(D38,Parameters!A:B,2,FALSE)*K38</f>
        <v>7.1325231481481474E-3</v>
      </c>
    </row>
    <row r="39" spans="1:24" x14ac:dyDescent="0.2">
      <c r="A39" s="42">
        <v>37</v>
      </c>
      <c r="B39" s="42" t="s">
        <v>28</v>
      </c>
      <c r="C39" s="22" t="str">
        <f>C$3&amp; IF($L40&gt;Endzeit," - nach Zielschluß","")</f>
        <v>Ehrl, Lionel - nach Zielschluß</v>
      </c>
      <c r="D39" s="42" t="str">
        <f t="shared" si="14"/>
        <v>EL</v>
      </c>
      <c r="E39" s="46" t="s">
        <v>25</v>
      </c>
      <c r="F39" s="42" t="str">
        <f t="shared" si="22"/>
        <v>FFEL</v>
      </c>
      <c r="G39" s="42">
        <f t="shared" si="13"/>
        <v>7</v>
      </c>
      <c r="H39" s="24">
        <f t="shared" si="1"/>
        <v>1.25</v>
      </c>
      <c r="I39" s="24">
        <f t="shared" si="2"/>
        <v>1</v>
      </c>
      <c r="J39" s="24">
        <f>VLOOKUP(L39-Parameters!$B$25,Zeit,2)</f>
        <v>1</v>
      </c>
      <c r="K39" s="117">
        <f t="shared" si="3"/>
        <v>1.25</v>
      </c>
      <c r="L39" s="36">
        <f t="shared" si="8"/>
        <v>2.7532957291666671</v>
      </c>
      <c r="M39" s="32">
        <f>VLOOKUP(F39,TimeBasis!A:B,2,FALSE)*J39*H39</f>
        <v>3.2217881944444443E-2</v>
      </c>
      <c r="N39" s="30"/>
      <c r="O39" s="138">
        <f t="shared" si="10"/>
        <v>0.41214989583333406</v>
      </c>
      <c r="P39" s="133">
        <f t="shared" si="11"/>
        <v>2.341145833333333</v>
      </c>
      <c r="Q39" s="33"/>
      <c r="R39" s="53"/>
      <c r="S39" s="38"/>
      <c r="T39" s="24">
        <f>IF(R39&gt;0,R39+S39*Climbfaktor/1000,VLOOKUP($E39,CoursesBasis!B$3:J$14,9,FALSE))</f>
        <v>5.71</v>
      </c>
      <c r="U39" s="30" t="str">
        <f t="shared" si="12"/>
        <v/>
      </c>
      <c r="V39" s="30" t="str">
        <f t="shared" si="4"/>
        <v/>
      </c>
      <c r="W39" s="30"/>
      <c r="X39" s="30">
        <f>VLOOKUP(D39,Parameters!A:B,2,FALSE)*K39</f>
        <v>5.6423611111111119E-3</v>
      </c>
    </row>
    <row r="40" spans="1:24" x14ac:dyDescent="0.2">
      <c r="A40" s="42">
        <v>38</v>
      </c>
      <c r="B40" s="42" t="s">
        <v>30</v>
      </c>
      <c r="C40" s="22" t="str">
        <f>C$4&amp; IF($L41&gt;Endzeit," - nach Zielschluß","")</f>
        <v>Schneehage, Carsten - nach Zielschluß</v>
      </c>
      <c r="D40" s="42" t="str">
        <f t="shared" si="14"/>
        <v>SC</v>
      </c>
      <c r="E40" s="46" t="s">
        <v>25</v>
      </c>
      <c r="F40" s="42" t="str">
        <f t="shared" si="22"/>
        <v>FFSC</v>
      </c>
      <c r="G40" s="42">
        <f t="shared" si="13"/>
        <v>7</v>
      </c>
      <c r="H40" s="24">
        <f t="shared" si="1"/>
        <v>1.25</v>
      </c>
      <c r="I40" s="24">
        <f t="shared" si="2"/>
        <v>1</v>
      </c>
      <c r="J40" s="24">
        <f>VLOOKUP(L40-Parameters!$B$25,Zeit,2)</f>
        <v>1</v>
      </c>
      <c r="K40" s="117">
        <f>H40*I40*J40</f>
        <v>1.25</v>
      </c>
      <c r="L40" s="36">
        <f t="shared" si="8"/>
        <v>2.7855136111111114</v>
      </c>
      <c r="M40" s="32">
        <f>VLOOKUP(F40,TimeBasis!A:B,2,FALSE)*J40*H40</f>
        <v>3.5935329861111115E-2</v>
      </c>
      <c r="N40" s="30"/>
      <c r="O40" s="138">
        <f t="shared" si="10"/>
        <v>0.44436777777777836</v>
      </c>
      <c r="P40" s="133">
        <f t="shared" si="11"/>
        <v>2.341145833333333</v>
      </c>
      <c r="Q40" s="33"/>
      <c r="R40" s="53"/>
      <c r="S40" s="38"/>
      <c r="T40" s="24">
        <f>IF(R40&gt;0,R40+S40*Climbfaktor/1000,VLOOKUP($E40,CoursesBasis!B$3:J$14,9,FALSE))</f>
        <v>5.71</v>
      </c>
      <c r="U40" s="30" t="str">
        <f t="shared" si="12"/>
        <v/>
      </c>
      <c r="V40" s="30" t="str">
        <f t="shared" si="4"/>
        <v/>
      </c>
      <c r="W40" s="30"/>
      <c r="X40" s="30">
        <f>VLOOKUP(D40,Parameters!A:B,2,FALSE)*K40</f>
        <v>6.293402777777778E-3</v>
      </c>
    </row>
    <row r="41" spans="1:24" x14ac:dyDescent="0.2">
      <c r="A41" s="43"/>
      <c r="B41" s="43"/>
      <c r="C41" s="12"/>
      <c r="D41" s="43"/>
      <c r="E41" s="43"/>
      <c r="F41" s="43"/>
      <c r="G41" s="42"/>
      <c r="H41" s="24"/>
      <c r="I41" s="24"/>
      <c r="J41" s="27"/>
      <c r="K41" s="27"/>
      <c r="L41" s="36">
        <f t="shared" si="8"/>
        <v>2.8214489409722225</v>
      </c>
      <c r="M41" s="47">
        <f>SUM(M3:M40)</f>
        <v>1.4464489409722228</v>
      </c>
      <c r="N41" s="30"/>
      <c r="O41" s="138"/>
      <c r="P41" s="134">
        <f t="shared" si="11"/>
        <v>2.341145833333333</v>
      </c>
      <c r="Q41" s="47">
        <f>SUM(Q3:Q34)</f>
        <v>0.96614583333333337</v>
      </c>
      <c r="R41" s="52">
        <f>SUM(R3:R40)</f>
        <v>0</v>
      </c>
      <c r="S41" s="48">
        <f>SUM(S3:S40)</f>
        <v>0</v>
      </c>
      <c r="T41" s="104">
        <f>AVERAGE(T3:T40)</f>
        <v>6.312368421052633</v>
      </c>
      <c r="U41" s="29"/>
      <c r="V41" s="29"/>
      <c r="W41" s="130"/>
      <c r="X41" s="29"/>
    </row>
  </sheetData>
  <mergeCells count="17">
    <mergeCell ref="Z2:AA2"/>
    <mergeCell ref="Z26:AB26"/>
    <mergeCell ref="Z27:AB27"/>
    <mergeCell ref="Z17:AB17"/>
    <mergeCell ref="Z18:AB18"/>
    <mergeCell ref="Z19:AB19"/>
    <mergeCell ref="Z20:AB20"/>
    <mergeCell ref="Z21:AB21"/>
    <mergeCell ref="Z22:AB22"/>
    <mergeCell ref="Z23:AB23"/>
    <mergeCell ref="Z24:AB24"/>
    <mergeCell ref="H1:K1"/>
    <mergeCell ref="U1:X1"/>
    <mergeCell ref="A1:D1"/>
    <mergeCell ref="E1:F1"/>
    <mergeCell ref="Q1:T1"/>
    <mergeCell ref="L1:N1"/>
  </mergeCells>
  <phoneticPr fontId="1" type="noConversion"/>
  <conditionalFormatting sqref="E4:E40 L4:L41 N4:N41 O41:P41">
    <cfRule type="expression" dxfId="5" priority="9" stopIfTrue="1">
      <formula>OR(AND($L3&lt;Twilight,$L4&gt;=Twilight),AND($L2&lt;Twilight,$L3&gt;=Twilight))</formula>
    </cfRule>
  </conditionalFormatting>
  <conditionalFormatting sqref="U3:U40">
    <cfRule type="cellIs" dxfId="4" priority="15" stopIfTrue="1" operator="greaterThan">
      <formula>$X3</formula>
    </cfRule>
    <cfRule type="cellIs" dxfId="3" priority="16" stopIfTrue="1" operator="lessThanOrEqual">
      <formula>$T3</formula>
    </cfRule>
  </conditionalFormatting>
  <conditionalFormatting sqref="AC4:AC1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3:AC14">
    <cfRule type="colorScale" priority="1">
      <colorScale>
        <cfvo type="num" val="-3"/>
        <cfvo type="num" val="0"/>
        <cfvo type="num" val="3"/>
        <color rgb="FF63BE7B"/>
        <color rgb="FFFFEB84"/>
        <color rgb="FFF8696B"/>
      </colorScale>
    </cfRule>
  </conditionalFormatting>
  <conditionalFormatting sqref="Q9:X40 A9:N40">
    <cfRule type="expression" dxfId="2" priority="10" stopIfTrue="1">
      <formula>$P10&gt;Endzeit</formula>
    </cfRule>
  </conditionalFormatting>
  <printOptions horizontalCentered="1" verticalCentered="1"/>
  <pageMargins left="0.19685039370078741" right="0.19685039370078741" top="0.78740157480314965" bottom="0.43307086614173229" header="0.31496062992125984" footer="0.15748031496062992"/>
  <pageSetup paperSize="9" scale="90" orientation="landscape" horizontalDpi="4294967293" r:id="rId1"/>
  <headerFooter alignWithMargins="0">
    <oddHeader>&amp;L24-h-OL am 04./05.06.2011&amp;C&amp;28Plan für Team &amp;"Arial,Fett"'s passt scho&amp;RWolfersdorf</oddHeader>
    <oddFooter>&amp;LErstellt von Valerio Casanova &amp;C&amp;D&amp;R&amp;F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opLeftCell="A2" workbookViewId="0">
      <selection activeCell="A16" sqref="A16"/>
    </sheetView>
  </sheetViews>
  <sheetFormatPr baseColWidth="10" defaultColWidth="9.140625" defaultRowHeight="12.75" x14ac:dyDescent="0.2"/>
  <cols>
    <col min="1" max="1" width="18.85546875" bestFit="1" customWidth="1"/>
    <col min="2" max="2" width="4.85546875" bestFit="1" customWidth="1"/>
    <col min="3" max="3" width="2" bestFit="1" customWidth="1"/>
    <col min="4" max="4" width="13.5703125" bestFit="1" customWidth="1"/>
    <col min="5" max="5" width="1.140625" customWidth="1"/>
    <col min="6" max="7" width="4" bestFit="1" customWidth="1"/>
    <col min="8" max="8" width="5.5703125" bestFit="1" customWidth="1"/>
    <col min="9" max="9" width="6.140625" bestFit="1" customWidth="1"/>
    <col min="10" max="10" width="8.42578125" bestFit="1" customWidth="1"/>
    <col min="11" max="11" width="3.5703125" bestFit="1" customWidth="1"/>
    <col min="12" max="17" width="8.140625" bestFit="1" customWidth="1"/>
    <col min="18" max="18" width="4.7109375" customWidth="1"/>
    <col min="19" max="30" width="3.7109375" customWidth="1"/>
  </cols>
  <sheetData>
    <row r="1" spans="1:30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166" t="s">
        <v>121</v>
      </c>
      <c r="T1" s="167"/>
      <c r="U1" s="167"/>
      <c r="V1" s="167"/>
      <c r="W1" s="167"/>
      <c r="X1" s="168"/>
      <c r="Y1" s="163" t="s">
        <v>45</v>
      </c>
      <c r="Z1" s="164"/>
      <c r="AA1" s="164"/>
      <c r="AB1" s="164"/>
      <c r="AC1" s="164"/>
      <c r="AD1" s="165"/>
    </row>
    <row r="2" spans="1:30" x14ac:dyDescent="0.2">
      <c r="A2" s="2" t="s">
        <v>47</v>
      </c>
      <c r="B2" s="2"/>
      <c r="C2" s="2" t="s">
        <v>46</v>
      </c>
      <c r="D2" s="2" t="s">
        <v>50</v>
      </c>
      <c r="E2" s="2"/>
      <c r="F2" s="2" t="s">
        <v>135</v>
      </c>
      <c r="G2" s="2" t="s">
        <v>134</v>
      </c>
      <c r="H2" s="2" t="s">
        <v>26</v>
      </c>
      <c r="I2" s="2" t="s">
        <v>27</v>
      </c>
      <c r="J2" s="2" t="s">
        <v>102</v>
      </c>
      <c r="K2" s="2"/>
      <c r="L2" s="2" t="s">
        <v>39</v>
      </c>
      <c r="M2" s="2" t="s">
        <v>40</v>
      </c>
      <c r="N2" s="2" t="s">
        <v>117</v>
      </c>
      <c r="O2" s="2" t="s">
        <v>41</v>
      </c>
      <c r="P2" s="2" t="s">
        <v>42</v>
      </c>
      <c r="Q2" s="2" t="s">
        <v>120</v>
      </c>
      <c r="R2" s="2"/>
      <c r="S2" s="125" t="s">
        <v>39</v>
      </c>
      <c r="T2" s="125" t="s">
        <v>40</v>
      </c>
      <c r="U2" s="125" t="s">
        <v>43</v>
      </c>
      <c r="V2" s="125" t="s">
        <v>41</v>
      </c>
      <c r="W2" s="125" t="s">
        <v>42</v>
      </c>
      <c r="X2" s="125" t="s">
        <v>44</v>
      </c>
      <c r="Y2" s="127" t="s">
        <v>39</v>
      </c>
      <c r="Z2" s="127" t="s">
        <v>40</v>
      </c>
      <c r="AA2" s="127" t="s">
        <v>43</v>
      </c>
      <c r="AB2" s="127" t="s">
        <v>41</v>
      </c>
      <c r="AC2" s="127" t="s">
        <v>42</v>
      </c>
      <c r="AD2" s="127" t="s">
        <v>44</v>
      </c>
    </row>
    <row r="3" spans="1:30" x14ac:dyDescent="0.2">
      <c r="A3" s="2" t="s">
        <v>2</v>
      </c>
      <c r="B3" s="2" t="s">
        <v>14</v>
      </c>
      <c r="C3" s="4">
        <v>1</v>
      </c>
      <c r="D3" s="3" t="s">
        <v>34</v>
      </c>
      <c r="E3" s="4"/>
      <c r="F3" s="4">
        <v>4.2</v>
      </c>
      <c r="G3" s="4">
        <v>4.2</v>
      </c>
      <c r="H3" s="4">
        <v>180</v>
      </c>
      <c r="I3" s="4">
        <v>180</v>
      </c>
      <c r="J3" s="4">
        <f t="shared" ref="J3:J14" si="0">(F3+G3)/2+(H3+I3)/2*Climbfaktor/1000</f>
        <v>5.6400000000000006</v>
      </c>
      <c r="K3" s="4"/>
      <c r="L3" s="7">
        <f t="shared" ref="L3:Q14" si="1">VLOOKUP(L$2,Basis,2,FALSE)*VLOOKUP($B3,Schwierigkeit,2,FALSE)*$J3</f>
        <v>2.545833333333334E-2</v>
      </c>
      <c r="M3" s="7">
        <f t="shared" si="1"/>
        <v>2.8395833333333339E-2</v>
      </c>
      <c r="N3" s="7">
        <f t="shared" si="1"/>
        <v>2.8395833333333339E-2</v>
      </c>
      <c r="O3" s="7">
        <f t="shared" si="1"/>
        <v>3.3291666666666671E-2</v>
      </c>
      <c r="P3" s="7">
        <f t="shared" si="1"/>
        <v>2.8395833333333339E-2</v>
      </c>
      <c r="Q3" s="7">
        <f t="shared" si="1"/>
        <v>2.9375000000000002E-2</v>
      </c>
      <c r="R3" s="4"/>
      <c r="S3" s="126"/>
      <c r="T3" s="126"/>
      <c r="U3" s="126"/>
      <c r="V3" s="126"/>
      <c r="W3" s="126"/>
      <c r="X3" s="126"/>
      <c r="Y3" s="128">
        <v>30</v>
      </c>
      <c r="Z3" s="128"/>
      <c r="AA3" s="128"/>
      <c r="AB3" s="128"/>
      <c r="AC3" s="128"/>
      <c r="AD3" s="128"/>
    </row>
    <row r="4" spans="1:30" x14ac:dyDescent="0.2">
      <c r="A4" s="2" t="s">
        <v>3</v>
      </c>
      <c r="B4" s="2" t="s">
        <v>15</v>
      </c>
      <c r="C4" s="4">
        <v>4</v>
      </c>
      <c r="D4" s="3" t="s">
        <v>35</v>
      </c>
      <c r="E4" s="4"/>
      <c r="F4" s="4">
        <v>3.5</v>
      </c>
      <c r="G4" s="4">
        <v>3.8</v>
      </c>
      <c r="H4" s="4">
        <v>140</v>
      </c>
      <c r="I4" s="4">
        <v>160</v>
      </c>
      <c r="J4" s="4">
        <f t="shared" si="0"/>
        <v>4.8499999999999996</v>
      </c>
      <c r="K4" s="4"/>
      <c r="L4" s="7">
        <f t="shared" si="1"/>
        <v>2.1892361111111112E-2</v>
      </c>
      <c r="M4" s="7">
        <f t="shared" si="1"/>
        <v>2.4418402777777778E-2</v>
      </c>
      <c r="N4" s="7">
        <f t="shared" si="1"/>
        <v>2.4418402777777778E-2</v>
      </c>
      <c r="O4" s="7">
        <f t="shared" si="1"/>
        <v>2.8628472222222218E-2</v>
      </c>
      <c r="P4" s="7">
        <f t="shared" si="1"/>
        <v>2.4418402777777778E-2</v>
      </c>
      <c r="Q4" s="7">
        <f t="shared" si="1"/>
        <v>2.5260416666666664E-2</v>
      </c>
      <c r="R4" s="4"/>
      <c r="S4" s="126"/>
      <c r="T4" s="126"/>
      <c r="U4" s="126"/>
      <c r="V4" s="126"/>
      <c r="W4" s="126"/>
      <c r="X4" s="126"/>
      <c r="Y4" s="128"/>
      <c r="Z4" s="128"/>
      <c r="AA4" s="128"/>
      <c r="AB4" s="128"/>
      <c r="AC4" s="128"/>
      <c r="AD4" s="128">
        <v>37</v>
      </c>
    </row>
    <row r="5" spans="1:30" x14ac:dyDescent="0.2">
      <c r="A5" s="2" t="s">
        <v>4</v>
      </c>
      <c r="B5" s="2" t="s">
        <v>16</v>
      </c>
      <c r="C5" s="4">
        <v>4</v>
      </c>
      <c r="D5" s="3" t="s">
        <v>34</v>
      </c>
      <c r="E5" s="4"/>
      <c r="F5" s="4">
        <v>4.4000000000000004</v>
      </c>
      <c r="G5" s="4">
        <v>4.9000000000000004</v>
      </c>
      <c r="H5" s="4">
        <v>160</v>
      </c>
      <c r="I5" s="4">
        <v>180</v>
      </c>
      <c r="J5" s="4">
        <f t="shared" si="0"/>
        <v>6.0100000000000007</v>
      </c>
      <c r="K5" s="4"/>
      <c r="L5" s="7">
        <f t="shared" si="1"/>
        <v>2.9841319444444452E-2</v>
      </c>
      <c r="M5" s="7">
        <f t="shared" si="1"/>
        <v>3.3284548611111124E-2</v>
      </c>
      <c r="N5" s="7">
        <f t="shared" si="1"/>
        <v>3.3284548611111124E-2</v>
      </c>
      <c r="O5" s="7">
        <f t="shared" si="1"/>
        <v>3.9023263888888896E-2</v>
      </c>
      <c r="P5" s="7">
        <f t="shared" si="1"/>
        <v>3.3284548611111124E-2</v>
      </c>
      <c r="Q5" s="7">
        <f t="shared" si="1"/>
        <v>3.443229166666667E-2</v>
      </c>
      <c r="R5" s="4"/>
      <c r="S5" s="126"/>
      <c r="T5" s="126"/>
      <c r="U5" s="126"/>
      <c r="V5" s="126"/>
      <c r="W5" s="126"/>
      <c r="X5" s="126"/>
      <c r="Y5" s="128"/>
      <c r="Z5" s="128">
        <v>42</v>
      </c>
      <c r="AA5" s="128"/>
      <c r="AB5" s="128"/>
      <c r="AC5" s="128"/>
      <c r="AD5" s="128">
        <v>54</v>
      </c>
    </row>
    <row r="6" spans="1:30" x14ac:dyDescent="0.2">
      <c r="A6" s="2" t="s">
        <v>5</v>
      </c>
      <c r="B6" s="2" t="s">
        <v>17</v>
      </c>
      <c r="C6" s="4">
        <v>4</v>
      </c>
      <c r="D6" s="3" t="s">
        <v>35</v>
      </c>
      <c r="E6" s="4"/>
      <c r="F6" s="4">
        <v>5.8</v>
      </c>
      <c r="G6" s="4">
        <v>6.2</v>
      </c>
      <c r="H6" s="4">
        <v>195</v>
      </c>
      <c r="I6" s="4">
        <v>245</v>
      </c>
      <c r="J6" s="4">
        <f t="shared" si="0"/>
        <v>7.76</v>
      </c>
      <c r="K6" s="4"/>
      <c r="L6" s="7">
        <f t="shared" si="1"/>
        <v>3.5027777777777783E-2</v>
      </c>
      <c r="M6" s="7">
        <f t="shared" si="1"/>
        <v>3.9069444444444448E-2</v>
      </c>
      <c r="N6" s="7">
        <f t="shared" si="1"/>
        <v>3.9069444444444448E-2</v>
      </c>
      <c r="O6" s="7">
        <f t="shared" si="1"/>
        <v>4.5805555555555551E-2</v>
      </c>
      <c r="P6" s="7">
        <f t="shared" si="1"/>
        <v>3.9069444444444448E-2</v>
      </c>
      <c r="Q6" s="7">
        <f t="shared" si="1"/>
        <v>4.0416666666666663E-2</v>
      </c>
      <c r="R6" s="4"/>
      <c r="S6" s="126"/>
      <c r="T6" s="126"/>
      <c r="U6" s="126"/>
      <c r="V6" s="126"/>
      <c r="W6" s="126"/>
      <c r="X6" s="126"/>
      <c r="Y6" s="128">
        <v>53</v>
      </c>
      <c r="Z6" s="128">
        <v>53</v>
      </c>
      <c r="AA6" s="128"/>
      <c r="AB6" s="128"/>
      <c r="AC6" s="128">
        <f>AVERAGE(48,60)</f>
        <v>54</v>
      </c>
      <c r="AD6" s="128"/>
    </row>
    <row r="7" spans="1:30" x14ac:dyDescent="0.2">
      <c r="A7" s="2" t="s">
        <v>6</v>
      </c>
      <c r="B7" s="2" t="s">
        <v>18</v>
      </c>
      <c r="C7" s="4">
        <v>3</v>
      </c>
      <c r="D7" s="3" t="s">
        <v>34</v>
      </c>
      <c r="E7" s="4"/>
      <c r="F7" s="4">
        <v>7.2</v>
      </c>
      <c r="G7" s="4">
        <v>7.6</v>
      </c>
      <c r="H7" s="4">
        <v>235</v>
      </c>
      <c r="I7" s="4">
        <v>295</v>
      </c>
      <c r="J7" s="4">
        <f t="shared" si="0"/>
        <v>9.52</v>
      </c>
      <c r="K7" s="4"/>
      <c r="L7" s="7">
        <f t="shared" si="1"/>
        <v>4.7269444444444447E-2</v>
      </c>
      <c r="M7" s="7">
        <f t="shared" si="1"/>
        <v>5.2723611111111117E-2</v>
      </c>
      <c r="N7" s="7">
        <f t="shared" si="1"/>
        <v>5.2723611111111117E-2</v>
      </c>
      <c r="O7" s="7">
        <f t="shared" si="1"/>
        <v>6.181388888888889E-2</v>
      </c>
      <c r="P7" s="7">
        <f t="shared" si="1"/>
        <v>5.2723611111111117E-2</v>
      </c>
      <c r="Q7" s="7">
        <f t="shared" si="1"/>
        <v>5.4541666666666669E-2</v>
      </c>
      <c r="R7" s="4"/>
      <c r="S7" s="126"/>
      <c r="T7" s="126"/>
      <c r="U7" s="126"/>
      <c r="V7" s="126"/>
      <c r="W7" s="126"/>
      <c r="X7" s="126"/>
      <c r="Y7" s="128">
        <v>58</v>
      </c>
      <c r="Z7" s="128">
        <v>75</v>
      </c>
      <c r="AA7" s="128"/>
      <c r="AB7" s="128"/>
      <c r="AC7" s="128"/>
      <c r="AD7" s="128"/>
    </row>
    <row r="8" spans="1:30" x14ac:dyDescent="0.2">
      <c r="A8" s="2" t="s">
        <v>7</v>
      </c>
      <c r="B8" s="2" t="s">
        <v>19</v>
      </c>
      <c r="C8" s="4">
        <v>1</v>
      </c>
      <c r="D8" s="3" t="s">
        <v>35</v>
      </c>
      <c r="E8" s="4"/>
      <c r="F8" s="4">
        <v>3.4</v>
      </c>
      <c r="G8" s="4">
        <v>3.4</v>
      </c>
      <c r="H8" s="4">
        <v>105</v>
      </c>
      <c r="I8" s="4">
        <v>105</v>
      </c>
      <c r="J8" s="4">
        <f t="shared" si="0"/>
        <v>4.24</v>
      </c>
      <c r="K8" s="4"/>
      <c r="L8" s="7">
        <f t="shared" si="1"/>
        <v>1.9138888888888893E-2</v>
      </c>
      <c r="M8" s="7">
        <f t="shared" si="1"/>
        <v>2.1347222222222226E-2</v>
      </c>
      <c r="N8" s="7">
        <f t="shared" si="1"/>
        <v>2.1347222222222226E-2</v>
      </c>
      <c r="O8" s="7">
        <f t="shared" si="1"/>
        <v>2.5027777777777777E-2</v>
      </c>
      <c r="P8" s="7">
        <f t="shared" si="1"/>
        <v>2.1347222222222226E-2</v>
      </c>
      <c r="Q8" s="7">
        <f t="shared" si="1"/>
        <v>2.2083333333333333E-2</v>
      </c>
      <c r="R8" s="4"/>
      <c r="S8" s="126"/>
      <c r="T8" s="126"/>
      <c r="U8" s="126"/>
      <c r="V8" s="126"/>
      <c r="W8" s="126"/>
      <c r="X8" s="126"/>
      <c r="Y8" s="128"/>
      <c r="Z8" s="128"/>
      <c r="AA8" s="128"/>
      <c r="AB8" s="128"/>
      <c r="AC8" s="128"/>
      <c r="AD8" s="128"/>
    </row>
    <row r="9" spans="1:30" x14ac:dyDescent="0.2">
      <c r="A9" s="2" t="s">
        <v>8</v>
      </c>
      <c r="B9" s="2" t="s">
        <v>20</v>
      </c>
      <c r="C9" s="4">
        <v>1</v>
      </c>
      <c r="D9" s="3" t="s">
        <v>35</v>
      </c>
      <c r="E9" s="4"/>
      <c r="F9" s="4">
        <v>4.5</v>
      </c>
      <c r="G9" s="4">
        <v>4.5</v>
      </c>
      <c r="H9" s="4">
        <v>155</v>
      </c>
      <c r="I9" s="4">
        <v>155</v>
      </c>
      <c r="J9" s="4">
        <f t="shared" si="0"/>
        <v>5.74</v>
      </c>
      <c r="K9" s="4"/>
      <c r="L9" s="7">
        <f t="shared" si="1"/>
        <v>2.5909722222222226E-2</v>
      </c>
      <c r="M9" s="7">
        <f t="shared" si="1"/>
        <v>2.889930555555556E-2</v>
      </c>
      <c r="N9" s="7">
        <f t="shared" si="1"/>
        <v>2.889930555555556E-2</v>
      </c>
      <c r="O9" s="7">
        <f t="shared" si="1"/>
        <v>3.3881944444444444E-2</v>
      </c>
      <c r="P9" s="7">
        <f t="shared" si="1"/>
        <v>2.889930555555556E-2</v>
      </c>
      <c r="Q9" s="7">
        <f t="shared" si="1"/>
        <v>2.9895833333333333E-2</v>
      </c>
      <c r="R9" s="4"/>
      <c r="S9" s="126"/>
      <c r="T9" s="126"/>
      <c r="U9" s="126"/>
      <c r="V9" s="126"/>
      <c r="W9" s="126"/>
      <c r="X9" s="126"/>
      <c r="Y9" s="128"/>
      <c r="Z9" s="128"/>
      <c r="AA9" s="128"/>
      <c r="AB9" s="128"/>
      <c r="AC9" s="128">
        <v>36</v>
      </c>
      <c r="AD9" s="128"/>
    </row>
    <row r="10" spans="1:30" x14ac:dyDescent="0.2">
      <c r="A10" s="2" t="s">
        <v>9</v>
      </c>
      <c r="B10" s="2" t="s">
        <v>21</v>
      </c>
      <c r="C10" s="4">
        <v>5</v>
      </c>
      <c r="D10" s="3" t="s">
        <v>35</v>
      </c>
      <c r="E10" s="4"/>
      <c r="F10" s="4">
        <v>3.2</v>
      </c>
      <c r="G10" s="4">
        <v>3.5</v>
      </c>
      <c r="H10" s="4">
        <v>125</v>
      </c>
      <c r="I10" s="4">
        <v>140</v>
      </c>
      <c r="J10" s="4">
        <f t="shared" si="0"/>
        <v>4.41</v>
      </c>
      <c r="K10" s="4"/>
      <c r="L10" s="7">
        <f t="shared" si="1"/>
        <v>1.9906250000000004E-2</v>
      </c>
      <c r="M10" s="7">
        <f t="shared" si="1"/>
        <v>2.2203125000000001E-2</v>
      </c>
      <c r="N10" s="7">
        <f t="shared" si="1"/>
        <v>2.2203125000000001E-2</v>
      </c>
      <c r="O10" s="7">
        <f t="shared" si="1"/>
        <v>2.6031249999999999E-2</v>
      </c>
      <c r="P10" s="7">
        <f t="shared" si="1"/>
        <v>2.2203125000000001E-2</v>
      </c>
      <c r="Q10" s="7">
        <f t="shared" si="1"/>
        <v>2.296875E-2</v>
      </c>
      <c r="R10" s="4"/>
      <c r="S10" s="126"/>
      <c r="T10" s="126"/>
      <c r="U10" s="126"/>
      <c r="V10" s="126"/>
      <c r="W10" s="126"/>
      <c r="X10" s="126"/>
      <c r="Y10" s="128"/>
      <c r="Z10" s="128"/>
      <c r="AA10" s="128"/>
      <c r="AB10" s="128"/>
      <c r="AC10" s="128"/>
      <c r="AD10" s="128">
        <f>AVERAGE(28,34)</f>
        <v>31</v>
      </c>
    </row>
    <row r="11" spans="1:30" x14ac:dyDescent="0.2">
      <c r="A11" s="2" t="s">
        <v>10</v>
      </c>
      <c r="B11" s="2" t="s">
        <v>22</v>
      </c>
      <c r="C11" s="4">
        <v>3</v>
      </c>
      <c r="D11" s="3" t="s">
        <v>34</v>
      </c>
      <c r="E11" s="4"/>
      <c r="F11" s="4">
        <v>3.7</v>
      </c>
      <c r="G11" s="4">
        <v>3.7</v>
      </c>
      <c r="H11" s="4">
        <v>140</v>
      </c>
      <c r="I11" s="4">
        <v>175</v>
      </c>
      <c r="J11" s="4">
        <f t="shared" si="0"/>
        <v>4.96</v>
      </c>
      <c r="K11" s="4"/>
      <c r="L11" s="7">
        <f t="shared" si="1"/>
        <v>2.462777777777778E-2</v>
      </c>
      <c r="M11" s="7">
        <f t="shared" si="1"/>
        <v>2.7469444444444449E-2</v>
      </c>
      <c r="N11" s="7">
        <f t="shared" si="1"/>
        <v>2.7469444444444449E-2</v>
      </c>
      <c r="O11" s="7">
        <f t="shared" si="1"/>
        <v>3.2205555555555557E-2</v>
      </c>
      <c r="P11" s="7">
        <f t="shared" si="1"/>
        <v>2.7469444444444449E-2</v>
      </c>
      <c r="Q11" s="7">
        <f t="shared" si="1"/>
        <v>2.841666666666667E-2</v>
      </c>
      <c r="R11" s="4"/>
      <c r="S11" s="126"/>
      <c r="T11" s="126"/>
      <c r="U11" s="126"/>
      <c r="V11" s="126"/>
      <c r="W11" s="126"/>
      <c r="X11" s="126"/>
      <c r="Y11" s="128">
        <v>58</v>
      </c>
      <c r="Z11" s="128"/>
      <c r="AA11" s="128"/>
      <c r="AB11" s="128"/>
      <c r="AC11" s="128"/>
      <c r="AD11" s="128">
        <v>46</v>
      </c>
    </row>
    <row r="12" spans="1:30" x14ac:dyDescent="0.2">
      <c r="A12" s="2" t="s">
        <v>11</v>
      </c>
      <c r="B12" s="2" t="s">
        <v>23</v>
      </c>
      <c r="C12" s="4">
        <v>3</v>
      </c>
      <c r="D12" s="3" t="s">
        <v>35</v>
      </c>
      <c r="E12" s="4"/>
      <c r="F12" s="4">
        <v>5.2</v>
      </c>
      <c r="G12" s="4">
        <v>5.4</v>
      </c>
      <c r="H12" s="4">
        <v>180</v>
      </c>
      <c r="I12" s="4">
        <v>205</v>
      </c>
      <c r="J12" s="4">
        <f t="shared" si="0"/>
        <v>6.8400000000000007</v>
      </c>
      <c r="K12" s="4"/>
      <c r="L12" s="7">
        <f t="shared" si="1"/>
        <v>3.0875000000000007E-2</v>
      </c>
      <c r="M12" s="7">
        <f t="shared" si="1"/>
        <v>3.4437500000000003E-2</v>
      </c>
      <c r="N12" s="7">
        <f t="shared" si="1"/>
        <v>3.4437500000000003E-2</v>
      </c>
      <c r="O12" s="7">
        <f t="shared" si="1"/>
        <v>4.0375000000000001E-2</v>
      </c>
      <c r="P12" s="7">
        <f t="shared" si="1"/>
        <v>3.4437500000000003E-2</v>
      </c>
      <c r="Q12" s="7">
        <f t="shared" si="1"/>
        <v>3.5625000000000004E-2</v>
      </c>
      <c r="R12" s="4"/>
      <c r="S12" s="126"/>
      <c r="T12" s="126"/>
      <c r="U12" s="126"/>
      <c r="V12" s="126"/>
      <c r="W12" s="126"/>
      <c r="X12" s="126"/>
      <c r="Y12" s="128">
        <v>51</v>
      </c>
      <c r="Z12" s="128">
        <v>60</v>
      </c>
      <c r="AA12" s="128"/>
      <c r="AB12" s="128"/>
      <c r="AC12" s="128">
        <v>65</v>
      </c>
      <c r="AD12" s="128"/>
    </row>
    <row r="13" spans="1:30" x14ac:dyDescent="0.2">
      <c r="A13" s="2" t="s">
        <v>12</v>
      </c>
      <c r="B13" s="2" t="s">
        <v>24</v>
      </c>
      <c r="C13" s="4">
        <v>3</v>
      </c>
      <c r="D13" s="3" t="s">
        <v>34</v>
      </c>
      <c r="E13" s="4"/>
      <c r="F13" s="4">
        <v>5.8</v>
      </c>
      <c r="G13" s="4">
        <v>6</v>
      </c>
      <c r="H13" s="4">
        <v>210</v>
      </c>
      <c r="I13" s="4">
        <v>235</v>
      </c>
      <c r="J13" s="4">
        <f t="shared" si="0"/>
        <v>7.6800000000000006</v>
      </c>
      <c r="K13" s="4"/>
      <c r="L13" s="7">
        <f t="shared" si="1"/>
        <v>3.8133333333333345E-2</v>
      </c>
      <c r="M13" s="7">
        <f t="shared" si="1"/>
        <v>4.2533333333333347E-2</v>
      </c>
      <c r="N13" s="7">
        <f t="shared" si="1"/>
        <v>4.2533333333333347E-2</v>
      </c>
      <c r="O13" s="7">
        <f t="shared" si="1"/>
        <v>4.986666666666667E-2</v>
      </c>
      <c r="P13" s="7">
        <f t="shared" si="1"/>
        <v>4.2533333333333347E-2</v>
      </c>
      <c r="Q13" s="7">
        <f t="shared" si="1"/>
        <v>4.4000000000000004E-2</v>
      </c>
      <c r="R13" s="4"/>
      <c r="S13" s="126"/>
      <c r="T13" s="126"/>
      <c r="U13" s="126"/>
      <c r="V13" s="126"/>
      <c r="W13" s="126"/>
      <c r="X13" s="126"/>
      <c r="Y13" s="128">
        <v>48</v>
      </c>
      <c r="Z13" s="128">
        <v>64</v>
      </c>
      <c r="AA13" s="128"/>
      <c r="AB13" s="128"/>
      <c r="AC13" s="128">
        <v>54</v>
      </c>
      <c r="AD13" s="128"/>
    </row>
    <row r="14" spans="1:30" x14ac:dyDescent="0.2">
      <c r="A14" s="2" t="s">
        <v>13</v>
      </c>
      <c r="B14" s="2" t="s">
        <v>25</v>
      </c>
      <c r="C14" s="4">
        <v>6</v>
      </c>
      <c r="D14" s="3" t="s">
        <v>34</v>
      </c>
      <c r="E14" s="4"/>
      <c r="F14" s="4">
        <v>4.3</v>
      </c>
      <c r="G14" s="4">
        <v>4.4000000000000004</v>
      </c>
      <c r="H14" s="4">
        <v>160</v>
      </c>
      <c r="I14" s="4">
        <v>180</v>
      </c>
      <c r="J14" s="4">
        <f t="shared" si="0"/>
        <v>5.71</v>
      </c>
      <c r="K14" s="4"/>
      <c r="L14" s="7">
        <f t="shared" si="1"/>
        <v>2.5774305555555557E-2</v>
      </c>
      <c r="M14" s="7">
        <f t="shared" si="1"/>
        <v>2.8748263888888889E-2</v>
      </c>
      <c r="N14" s="7">
        <f t="shared" si="1"/>
        <v>2.8748263888888889E-2</v>
      </c>
      <c r="O14" s="7">
        <f t="shared" si="1"/>
        <v>3.3704861111111109E-2</v>
      </c>
      <c r="P14" s="7">
        <f t="shared" si="1"/>
        <v>2.8748263888888889E-2</v>
      </c>
      <c r="Q14" s="7">
        <f t="shared" si="1"/>
        <v>2.9739583333333333E-2</v>
      </c>
      <c r="R14" s="4"/>
      <c r="S14" s="126"/>
      <c r="T14" s="126"/>
      <c r="U14" s="126"/>
      <c r="V14" s="126"/>
      <c r="W14" s="126"/>
      <c r="X14" s="126"/>
      <c r="Y14" s="128"/>
      <c r="Z14" s="128"/>
      <c r="AA14" s="128"/>
      <c r="AB14" s="128"/>
      <c r="AC14" s="128"/>
      <c r="AD14" s="128"/>
    </row>
    <row r="15" spans="1:30" x14ac:dyDescent="0.2">
      <c r="J15" s="124">
        <f>SUMPRODUCT(J3:J14,C3:C14)</f>
        <v>233.41</v>
      </c>
    </row>
  </sheetData>
  <mergeCells count="2">
    <mergeCell ref="Y1:AD1"/>
    <mergeCell ref="S1:X1"/>
  </mergeCells>
  <phoneticPr fontId="1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2"/>
  <sheetViews>
    <sheetView workbookViewId="0">
      <selection sqref="A1:B17"/>
    </sheetView>
  </sheetViews>
  <sheetFormatPr baseColWidth="10" defaultColWidth="9.140625" defaultRowHeight="12.75" x14ac:dyDescent="0.2"/>
  <sheetData>
    <row r="1" spans="1:2" x14ac:dyDescent="0.2">
      <c r="A1" s="6" t="str">
        <f>CoursesBasis!$B$3&amp;CoursesBasis!L$2</f>
        <v>SFEL</v>
      </c>
      <c r="B1" s="11">
        <f>CoursesBasis!L3</f>
        <v>2.545833333333334E-2</v>
      </c>
    </row>
    <row r="2" spans="1:2" x14ac:dyDescent="0.2">
      <c r="A2" s="6" t="str">
        <f>CoursesBasis!$B$4&amp;CoursesBasis!L$2</f>
        <v>SEEL</v>
      </c>
      <c r="B2" s="11">
        <f>CoursesBasis!L4</f>
        <v>2.1892361111111112E-2</v>
      </c>
    </row>
    <row r="3" spans="1:2" x14ac:dyDescent="0.2">
      <c r="A3" s="6" t="str">
        <f>CoursesBasis!$B$5&amp;CoursesBasis!L$2</f>
        <v>SDEL</v>
      </c>
      <c r="B3" s="11">
        <f>CoursesBasis!L5</f>
        <v>2.9841319444444452E-2</v>
      </c>
    </row>
    <row r="4" spans="1:2" x14ac:dyDescent="0.2">
      <c r="A4" s="6" t="str">
        <f>CoursesBasis!$B$6&amp;CoursesBasis!L$2</f>
        <v>LEEL</v>
      </c>
      <c r="B4" s="11">
        <f>CoursesBasis!L6</f>
        <v>3.5027777777777783E-2</v>
      </c>
    </row>
    <row r="5" spans="1:2" x14ac:dyDescent="0.2">
      <c r="A5" s="6" t="str">
        <f>CoursesBasis!$B$7&amp;CoursesBasis!L$2</f>
        <v>LDEL</v>
      </c>
      <c r="B5" s="11">
        <f>CoursesBasis!L7</f>
        <v>4.7269444444444447E-2</v>
      </c>
    </row>
    <row r="6" spans="1:2" x14ac:dyDescent="0.2">
      <c r="A6" s="6" t="str">
        <f>CoursesBasis!$B$8&amp;CoursesBasis!L$2</f>
        <v>STEL</v>
      </c>
      <c r="B6" s="11">
        <f>CoursesBasis!L8</f>
        <v>1.9138888888888893E-2</v>
      </c>
    </row>
    <row r="7" spans="1:2" x14ac:dyDescent="0.2">
      <c r="A7" s="6" t="str">
        <f>CoursesBasis!$B$9&amp;CoursesBasis!L$2</f>
        <v>LTEL</v>
      </c>
      <c r="B7" s="11">
        <f>CoursesBasis!L9</f>
        <v>2.5909722222222226E-2</v>
      </c>
    </row>
    <row r="8" spans="1:2" x14ac:dyDescent="0.2">
      <c r="A8" s="6" t="str">
        <f>CoursesBasis!$B$10&amp;CoursesBasis!L$2</f>
        <v>SENEL</v>
      </c>
      <c r="B8" s="11">
        <f>CoursesBasis!L10</f>
        <v>1.9906250000000004E-2</v>
      </c>
    </row>
    <row r="9" spans="1:2" x14ac:dyDescent="0.2">
      <c r="A9" s="6" t="str">
        <f>CoursesBasis!$B$11&amp;CoursesBasis!L$2</f>
        <v>SDNEL</v>
      </c>
      <c r="B9" s="11">
        <f>CoursesBasis!L11</f>
        <v>2.462777777777778E-2</v>
      </c>
    </row>
    <row r="10" spans="1:2" x14ac:dyDescent="0.2">
      <c r="A10" s="6" t="str">
        <f>CoursesBasis!$B$12&amp;CoursesBasis!L$2</f>
        <v>LENEL</v>
      </c>
      <c r="B10" s="11">
        <f>CoursesBasis!L12</f>
        <v>3.0875000000000007E-2</v>
      </c>
    </row>
    <row r="11" spans="1:2" x14ac:dyDescent="0.2">
      <c r="A11" s="6" t="str">
        <f>CoursesBasis!$B$13&amp;CoursesBasis!L$2</f>
        <v>LDNEL</v>
      </c>
      <c r="B11" s="11">
        <f>CoursesBasis!L13</f>
        <v>3.8133333333333345E-2</v>
      </c>
    </row>
    <row r="12" spans="1:2" x14ac:dyDescent="0.2">
      <c r="A12" s="6" t="str">
        <f>CoursesBasis!$B$14&amp;CoursesBasis!L$2</f>
        <v>FFEL</v>
      </c>
      <c r="B12" s="11">
        <f>CoursesBasis!L14</f>
        <v>2.5774305555555557E-2</v>
      </c>
    </row>
    <row r="13" spans="1:2" x14ac:dyDescent="0.2">
      <c r="A13" s="6" t="str">
        <f>CoursesBasis!$B$3&amp;CoursesBasis!M$2</f>
        <v>SFLG</v>
      </c>
      <c r="B13" s="11">
        <f>CoursesBasis!M3</f>
        <v>2.8395833333333339E-2</v>
      </c>
    </row>
    <row r="14" spans="1:2" x14ac:dyDescent="0.2">
      <c r="A14" s="6" t="str">
        <f>CoursesBasis!$B$4&amp;CoursesBasis!M$2</f>
        <v>SELG</v>
      </c>
      <c r="B14" s="11">
        <f>CoursesBasis!M4</f>
        <v>2.4418402777777778E-2</v>
      </c>
    </row>
    <row r="15" spans="1:2" x14ac:dyDescent="0.2">
      <c r="A15" s="6" t="str">
        <f>CoursesBasis!$B$5&amp;CoursesBasis!M$2</f>
        <v>SDLG</v>
      </c>
      <c r="B15" s="11">
        <f>CoursesBasis!M5</f>
        <v>3.3284548611111124E-2</v>
      </c>
    </row>
    <row r="16" spans="1:2" x14ac:dyDescent="0.2">
      <c r="A16" s="6" t="str">
        <f>CoursesBasis!$B$6&amp;CoursesBasis!M$2</f>
        <v>LELG</v>
      </c>
      <c r="B16" s="11">
        <f>CoursesBasis!M6</f>
        <v>3.9069444444444448E-2</v>
      </c>
    </row>
    <row r="17" spans="1:2" x14ac:dyDescent="0.2">
      <c r="A17" s="6" t="str">
        <f>CoursesBasis!$B$7&amp;CoursesBasis!M$2</f>
        <v>LDLG</v>
      </c>
      <c r="B17" s="11">
        <f>CoursesBasis!M7</f>
        <v>5.2723611111111117E-2</v>
      </c>
    </row>
    <row r="18" spans="1:2" x14ac:dyDescent="0.2">
      <c r="A18" s="6" t="str">
        <f>CoursesBasis!$B$8&amp;CoursesBasis!M$2</f>
        <v>STLG</v>
      </c>
      <c r="B18" s="11">
        <f>CoursesBasis!M8</f>
        <v>2.1347222222222226E-2</v>
      </c>
    </row>
    <row r="19" spans="1:2" x14ac:dyDescent="0.2">
      <c r="A19" s="6" t="str">
        <f>CoursesBasis!$B$9&amp;CoursesBasis!M$2</f>
        <v>LTLG</v>
      </c>
      <c r="B19" s="11">
        <f>CoursesBasis!M9</f>
        <v>2.889930555555556E-2</v>
      </c>
    </row>
    <row r="20" spans="1:2" x14ac:dyDescent="0.2">
      <c r="A20" s="6" t="str">
        <f>CoursesBasis!$B$10&amp;CoursesBasis!M$2</f>
        <v>SENLG</v>
      </c>
      <c r="B20" s="11">
        <f>CoursesBasis!M10</f>
        <v>2.2203125000000001E-2</v>
      </c>
    </row>
    <row r="21" spans="1:2" x14ac:dyDescent="0.2">
      <c r="A21" s="6" t="str">
        <f>CoursesBasis!$B$11&amp;CoursesBasis!M$2</f>
        <v>SDNLG</v>
      </c>
      <c r="B21" s="11">
        <f>CoursesBasis!M11</f>
        <v>2.7469444444444449E-2</v>
      </c>
    </row>
    <row r="22" spans="1:2" x14ac:dyDescent="0.2">
      <c r="A22" s="6" t="str">
        <f>CoursesBasis!$B$12&amp;CoursesBasis!M$2</f>
        <v>LENLG</v>
      </c>
      <c r="B22" s="11">
        <f>CoursesBasis!M12</f>
        <v>3.4437500000000003E-2</v>
      </c>
    </row>
    <row r="23" spans="1:2" x14ac:dyDescent="0.2">
      <c r="A23" s="6" t="str">
        <f>CoursesBasis!$B$13&amp;CoursesBasis!M$2</f>
        <v>LDNLG</v>
      </c>
      <c r="B23" s="11">
        <f>CoursesBasis!M13</f>
        <v>4.2533333333333347E-2</v>
      </c>
    </row>
    <row r="24" spans="1:2" x14ac:dyDescent="0.2">
      <c r="A24" s="6" t="str">
        <f>CoursesBasis!$B$14&amp;CoursesBasis!M$2</f>
        <v>FFLG</v>
      </c>
      <c r="B24" s="11">
        <f>CoursesBasis!M14</f>
        <v>2.8748263888888889E-2</v>
      </c>
    </row>
    <row r="25" spans="1:2" x14ac:dyDescent="0.2">
      <c r="A25" s="6" t="str">
        <f>CoursesBasis!$B$3&amp;CoursesBasis!N$2</f>
        <v>SFSC</v>
      </c>
      <c r="B25" s="11">
        <f>CoursesBasis!N3</f>
        <v>2.8395833333333339E-2</v>
      </c>
    </row>
    <row r="26" spans="1:2" x14ac:dyDescent="0.2">
      <c r="A26" s="6" t="str">
        <f>CoursesBasis!$B$4&amp;CoursesBasis!N$2</f>
        <v>SESC</v>
      </c>
      <c r="B26" s="11">
        <f>CoursesBasis!N4</f>
        <v>2.4418402777777778E-2</v>
      </c>
    </row>
    <row r="27" spans="1:2" x14ac:dyDescent="0.2">
      <c r="A27" s="6" t="str">
        <f>CoursesBasis!$B$5&amp;CoursesBasis!N$2</f>
        <v>SDSC</v>
      </c>
      <c r="B27" s="11">
        <f>CoursesBasis!N5</f>
        <v>3.3284548611111124E-2</v>
      </c>
    </row>
    <row r="28" spans="1:2" x14ac:dyDescent="0.2">
      <c r="A28" s="6" t="str">
        <f>CoursesBasis!$B$6&amp;CoursesBasis!N$2</f>
        <v>LESC</v>
      </c>
      <c r="B28" s="11">
        <f>CoursesBasis!N6</f>
        <v>3.9069444444444448E-2</v>
      </c>
    </row>
    <row r="29" spans="1:2" x14ac:dyDescent="0.2">
      <c r="A29" s="6" t="str">
        <f>CoursesBasis!$B$7&amp;CoursesBasis!N$2</f>
        <v>LDSC</v>
      </c>
      <c r="B29" s="11">
        <f>CoursesBasis!N7</f>
        <v>5.2723611111111117E-2</v>
      </c>
    </row>
    <row r="30" spans="1:2" x14ac:dyDescent="0.2">
      <c r="A30" s="6" t="str">
        <f>CoursesBasis!$B$8&amp;CoursesBasis!N$2</f>
        <v>STSC</v>
      </c>
      <c r="B30" s="11">
        <f>CoursesBasis!N8</f>
        <v>2.1347222222222226E-2</v>
      </c>
    </row>
    <row r="31" spans="1:2" x14ac:dyDescent="0.2">
      <c r="A31" s="6" t="str">
        <f>CoursesBasis!$B$9&amp;CoursesBasis!N$2</f>
        <v>LTSC</v>
      </c>
      <c r="B31" s="11">
        <f>CoursesBasis!N9</f>
        <v>2.889930555555556E-2</v>
      </c>
    </row>
    <row r="32" spans="1:2" x14ac:dyDescent="0.2">
      <c r="A32" s="6" t="str">
        <f>CoursesBasis!$B$10&amp;CoursesBasis!N$2</f>
        <v>SENSC</v>
      </c>
      <c r="B32" s="11">
        <f>CoursesBasis!N10</f>
        <v>2.2203125000000001E-2</v>
      </c>
    </row>
    <row r="33" spans="1:2" x14ac:dyDescent="0.2">
      <c r="A33" s="6" t="str">
        <f>CoursesBasis!$B$11&amp;CoursesBasis!N$2</f>
        <v>SDNSC</v>
      </c>
      <c r="B33" s="11">
        <f>CoursesBasis!N11</f>
        <v>2.7469444444444449E-2</v>
      </c>
    </row>
    <row r="34" spans="1:2" x14ac:dyDescent="0.2">
      <c r="A34" s="6" t="str">
        <f>CoursesBasis!$B$12&amp;CoursesBasis!N$2</f>
        <v>LENSC</v>
      </c>
      <c r="B34" s="11">
        <f>CoursesBasis!N12</f>
        <v>3.4437500000000003E-2</v>
      </c>
    </row>
    <row r="35" spans="1:2" x14ac:dyDescent="0.2">
      <c r="A35" s="6" t="str">
        <f>CoursesBasis!$B$13&amp;CoursesBasis!N$2</f>
        <v>LDNSC</v>
      </c>
      <c r="B35" s="11">
        <f>CoursesBasis!N13</f>
        <v>4.2533333333333347E-2</v>
      </c>
    </row>
    <row r="36" spans="1:2" x14ac:dyDescent="0.2">
      <c r="A36" s="6" t="str">
        <f>CoursesBasis!$B$14&amp;CoursesBasis!N$2</f>
        <v>FFSC</v>
      </c>
      <c r="B36" s="11">
        <f>CoursesBasis!N14</f>
        <v>2.8748263888888889E-2</v>
      </c>
    </row>
    <row r="37" spans="1:2" x14ac:dyDescent="0.2">
      <c r="A37" s="6" t="str">
        <f>CoursesBasis!$B$3&amp;CoursesBasis!O$2</f>
        <v>SFLJ</v>
      </c>
      <c r="B37" s="11">
        <f>CoursesBasis!O3</f>
        <v>3.3291666666666671E-2</v>
      </c>
    </row>
    <row r="38" spans="1:2" x14ac:dyDescent="0.2">
      <c r="A38" s="6" t="str">
        <f>CoursesBasis!$B$4&amp;CoursesBasis!O$2</f>
        <v>SELJ</v>
      </c>
      <c r="B38" s="11">
        <f>CoursesBasis!O4</f>
        <v>2.8628472222222218E-2</v>
      </c>
    </row>
    <row r="39" spans="1:2" x14ac:dyDescent="0.2">
      <c r="A39" s="6" t="str">
        <f>CoursesBasis!$B$5&amp;CoursesBasis!O$2</f>
        <v>SDLJ</v>
      </c>
      <c r="B39" s="11">
        <f>CoursesBasis!O5</f>
        <v>3.9023263888888896E-2</v>
      </c>
    </row>
    <row r="40" spans="1:2" x14ac:dyDescent="0.2">
      <c r="A40" s="6" t="str">
        <f>CoursesBasis!$B$6&amp;CoursesBasis!O$2</f>
        <v>LELJ</v>
      </c>
      <c r="B40" s="11">
        <f>CoursesBasis!O6</f>
        <v>4.5805555555555551E-2</v>
      </c>
    </row>
    <row r="41" spans="1:2" x14ac:dyDescent="0.2">
      <c r="A41" s="6" t="str">
        <f>CoursesBasis!$B$7&amp;CoursesBasis!O$2</f>
        <v>LDLJ</v>
      </c>
      <c r="B41" s="11">
        <f>CoursesBasis!O7</f>
        <v>6.181388888888889E-2</v>
      </c>
    </row>
    <row r="42" spans="1:2" x14ac:dyDescent="0.2">
      <c r="A42" s="6" t="str">
        <f>CoursesBasis!$B$8&amp;CoursesBasis!O$2</f>
        <v>STLJ</v>
      </c>
      <c r="B42" s="11">
        <f>CoursesBasis!O8</f>
        <v>2.5027777777777777E-2</v>
      </c>
    </row>
    <row r="43" spans="1:2" x14ac:dyDescent="0.2">
      <c r="A43" s="6" t="str">
        <f>CoursesBasis!$B$9&amp;CoursesBasis!O$2</f>
        <v>LTLJ</v>
      </c>
      <c r="B43" s="11">
        <f>CoursesBasis!O9</f>
        <v>3.3881944444444444E-2</v>
      </c>
    </row>
    <row r="44" spans="1:2" x14ac:dyDescent="0.2">
      <c r="A44" s="6" t="str">
        <f>CoursesBasis!$B$10&amp;CoursesBasis!O$2</f>
        <v>SENLJ</v>
      </c>
      <c r="B44" s="11">
        <f>CoursesBasis!O10</f>
        <v>2.6031249999999999E-2</v>
      </c>
    </row>
    <row r="45" spans="1:2" x14ac:dyDescent="0.2">
      <c r="A45" s="6" t="str">
        <f>CoursesBasis!$B$11&amp;CoursesBasis!O$2</f>
        <v>SDNLJ</v>
      </c>
      <c r="B45" s="11">
        <f>CoursesBasis!O11</f>
        <v>3.2205555555555557E-2</v>
      </c>
    </row>
    <row r="46" spans="1:2" x14ac:dyDescent="0.2">
      <c r="A46" s="6" t="str">
        <f>CoursesBasis!$B$12&amp;CoursesBasis!O$2</f>
        <v>LENLJ</v>
      </c>
      <c r="B46" s="11">
        <f>CoursesBasis!O12</f>
        <v>4.0375000000000001E-2</v>
      </c>
    </row>
    <row r="47" spans="1:2" x14ac:dyDescent="0.2">
      <c r="A47" s="6" t="str">
        <f>CoursesBasis!$B$13&amp;CoursesBasis!O$2</f>
        <v>LDNLJ</v>
      </c>
      <c r="B47" s="11">
        <f>CoursesBasis!O13</f>
        <v>4.986666666666667E-2</v>
      </c>
    </row>
    <row r="48" spans="1:2" x14ac:dyDescent="0.2">
      <c r="A48" s="6" t="str">
        <f>CoursesBasis!$B$14&amp;CoursesBasis!O$2</f>
        <v>FFLJ</v>
      </c>
      <c r="B48" s="11">
        <f>CoursesBasis!O14</f>
        <v>3.3704861111111109E-2</v>
      </c>
    </row>
    <row r="49" spans="1:2" x14ac:dyDescent="0.2">
      <c r="A49" s="6" t="str">
        <f>CoursesBasis!$B$3&amp;CoursesBasis!P$2</f>
        <v>SFBV</v>
      </c>
      <c r="B49" s="11">
        <f>CoursesBasis!P3</f>
        <v>2.8395833333333339E-2</v>
      </c>
    </row>
    <row r="50" spans="1:2" x14ac:dyDescent="0.2">
      <c r="A50" s="6" t="str">
        <f>CoursesBasis!$B$4&amp;CoursesBasis!P$2</f>
        <v>SEBV</v>
      </c>
      <c r="B50" s="11">
        <f>CoursesBasis!P4</f>
        <v>2.4418402777777778E-2</v>
      </c>
    </row>
    <row r="51" spans="1:2" x14ac:dyDescent="0.2">
      <c r="A51" s="6" t="str">
        <f>CoursesBasis!$B$5&amp;CoursesBasis!P$2</f>
        <v>SDBV</v>
      </c>
      <c r="B51" s="11">
        <f>CoursesBasis!P5</f>
        <v>3.3284548611111124E-2</v>
      </c>
    </row>
    <row r="52" spans="1:2" x14ac:dyDescent="0.2">
      <c r="A52" s="6" t="str">
        <f>CoursesBasis!$B$6&amp;CoursesBasis!P$2</f>
        <v>LEBV</v>
      </c>
      <c r="B52" s="11">
        <f>CoursesBasis!P6</f>
        <v>3.9069444444444448E-2</v>
      </c>
    </row>
    <row r="53" spans="1:2" x14ac:dyDescent="0.2">
      <c r="A53" s="6" t="str">
        <f>CoursesBasis!$B$7&amp;CoursesBasis!P$2</f>
        <v>LDBV</v>
      </c>
      <c r="B53" s="11">
        <f>CoursesBasis!P7</f>
        <v>5.2723611111111117E-2</v>
      </c>
    </row>
    <row r="54" spans="1:2" x14ac:dyDescent="0.2">
      <c r="A54" s="6" t="str">
        <f>CoursesBasis!$B$8&amp;CoursesBasis!P$2</f>
        <v>STBV</v>
      </c>
      <c r="B54" s="11">
        <f>CoursesBasis!P8</f>
        <v>2.1347222222222226E-2</v>
      </c>
    </row>
    <row r="55" spans="1:2" x14ac:dyDescent="0.2">
      <c r="A55" s="6" t="str">
        <f>CoursesBasis!$B$9&amp;CoursesBasis!P$2</f>
        <v>LTBV</v>
      </c>
      <c r="B55" s="11">
        <f>CoursesBasis!P9</f>
        <v>2.889930555555556E-2</v>
      </c>
    </row>
    <row r="56" spans="1:2" x14ac:dyDescent="0.2">
      <c r="A56" s="6" t="str">
        <f>CoursesBasis!$B$10&amp;CoursesBasis!P$2</f>
        <v>SENBV</v>
      </c>
      <c r="B56" s="11">
        <f>CoursesBasis!P10</f>
        <v>2.2203125000000001E-2</v>
      </c>
    </row>
    <row r="57" spans="1:2" x14ac:dyDescent="0.2">
      <c r="A57" s="6" t="str">
        <f>CoursesBasis!$B$11&amp;CoursesBasis!P$2</f>
        <v>SDNBV</v>
      </c>
      <c r="B57" s="11">
        <f>CoursesBasis!P11</f>
        <v>2.7469444444444449E-2</v>
      </c>
    </row>
    <row r="58" spans="1:2" x14ac:dyDescent="0.2">
      <c r="A58" s="6" t="str">
        <f>CoursesBasis!$B$12&amp;CoursesBasis!P$2</f>
        <v>LENBV</v>
      </c>
      <c r="B58" s="11">
        <f>CoursesBasis!P12</f>
        <v>3.4437500000000003E-2</v>
      </c>
    </row>
    <row r="59" spans="1:2" x14ac:dyDescent="0.2">
      <c r="A59" s="6" t="str">
        <f>CoursesBasis!$B$13&amp;CoursesBasis!P$2</f>
        <v>LDNBV</v>
      </c>
      <c r="B59" s="11">
        <f>CoursesBasis!P13</f>
        <v>4.2533333333333347E-2</v>
      </c>
    </row>
    <row r="60" spans="1:2" x14ac:dyDescent="0.2">
      <c r="A60" s="6" t="str">
        <f>CoursesBasis!$B$14&amp;CoursesBasis!P$2</f>
        <v>FFBV</v>
      </c>
      <c r="B60" s="11">
        <f>CoursesBasis!P14</f>
        <v>2.8748263888888889E-2</v>
      </c>
    </row>
    <row r="61" spans="1:2" x14ac:dyDescent="0.2">
      <c r="A61" s="6" t="str">
        <f>CoursesBasis!$B$3&amp;CoursesBasis!Q$2</f>
        <v>SFBK</v>
      </c>
      <c r="B61" s="11">
        <f>CoursesBasis!Q3</f>
        <v>2.9375000000000002E-2</v>
      </c>
    </row>
    <row r="62" spans="1:2" x14ac:dyDescent="0.2">
      <c r="A62" s="6" t="str">
        <f>CoursesBasis!$B$4&amp;CoursesBasis!Q$2</f>
        <v>SEBK</v>
      </c>
      <c r="B62" s="11">
        <f>CoursesBasis!Q4</f>
        <v>2.5260416666666664E-2</v>
      </c>
    </row>
    <row r="63" spans="1:2" x14ac:dyDescent="0.2">
      <c r="A63" s="6" t="str">
        <f>CoursesBasis!$B$5&amp;CoursesBasis!Q$2</f>
        <v>SDBK</v>
      </c>
      <c r="B63" s="11">
        <f>CoursesBasis!Q5</f>
        <v>3.443229166666667E-2</v>
      </c>
    </row>
    <row r="64" spans="1:2" x14ac:dyDescent="0.2">
      <c r="A64" s="6" t="str">
        <f>CoursesBasis!$B$6&amp;CoursesBasis!Q$2</f>
        <v>LEBK</v>
      </c>
      <c r="B64" s="11">
        <f>CoursesBasis!Q6</f>
        <v>4.0416666666666663E-2</v>
      </c>
    </row>
    <row r="65" spans="1:2" x14ac:dyDescent="0.2">
      <c r="A65" s="6" t="str">
        <f>CoursesBasis!$B$7&amp;CoursesBasis!Q$2</f>
        <v>LDBK</v>
      </c>
      <c r="B65" s="11">
        <f>CoursesBasis!Q7</f>
        <v>5.4541666666666669E-2</v>
      </c>
    </row>
    <row r="66" spans="1:2" x14ac:dyDescent="0.2">
      <c r="A66" s="6" t="str">
        <f>CoursesBasis!$B$8&amp;CoursesBasis!Q$2</f>
        <v>STBK</v>
      </c>
      <c r="B66" s="11">
        <f>CoursesBasis!Q8</f>
        <v>2.2083333333333333E-2</v>
      </c>
    </row>
    <row r="67" spans="1:2" x14ac:dyDescent="0.2">
      <c r="A67" s="6" t="str">
        <f>CoursesBasis!$B$9&amp;CoursesBasis!Q$2</f>
        <v>LTBK</v>
      </c>
      <c r="B67" s="11">
        <f>CoursesBasis!Q9</f>
        <v>2.9895833333333333E-2</v>
      </c>
    </row>
    <row r="68" spans="1:2" x14ac:dyDescent="0.2">
      <c r="A68" s="6" t="str">
        <f>CoursesBasis!$B$10&amp;CoursesBasis!Q$2</f>
        <v>SENBK</v>
      </c>
      <c r="B68" s="11">
        <f>CoursesBasis!Q10</f>
        <v>2.296875E-2</v>
      </c>
    </row>
    <row r="69" spans="1:2" x14ac:dyDescent="0.2">
      <c r="A69" s="6" t="str">
        <f>CoursesBasis!$B$11&amp;CoursesBasis!Q$2</f>
        <v>SDNBK</v>
      </c>
      <c r="B69" s="11">
        <f>CoursesBasis!Q11</f>
        <v>2.841666666666667E-2</v>
      </c>
    </row>
    <row r="70" spans="1:2" x14ac:dyDescent="0.2">
      <c r="A70" s="6" t="str">
        <f>CoursesBasis!$B$12&amp;CoursesBasis!Q$2</f>
        <v>LENBK</v>
      </c>
      <c r="B70" s="11">
        <f>CoursesBasis!Q12</f>
        <v>3.5625000000000004E-2</v>
      </c>
    </row>
    <row r="71" spans="1:2" x14ac:dyDescent="0.2">
      <c r="A71" s="6" t="str">
        <f>CoursesBasis!$B$13&amp;CoursesBasis!Q$2</f>
        <v>LDNBK</v>
      </c>
      <c r="B71" s="11">
        <f>CoursesBasis!Q13</f>
        <v>4.4000000000000004E-2</v>
      </c>
    </row>
    <row r="72" spans="1:2" x14ac:dyDescent="0.2">
      <c r="A72" s="6" t="str">
        <f>CoursesBasis!$B$14&amp;CoursesBasis!Q$2</f>
        <v>FFBK</v>
      </c>
      <c r="B72" s="11">
        <f>CoursesBasis!Q14</f>
        <v>2.9739583333333333E-2</v>
      </c>
    </row>
  </sheetData>
  <phoneticPr fontId="1" type="noConversion"/>
  <pageMargins left="0.78740157499999996" right="0.78740157499999996" top="0.984251969" bottom="0.984251969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pane xSplit="3" ySplit="1" topLeftCell="D2" activePane="bottomRight" state="frozen"/>
      <selection pane="topRight" activeCell="E1" sqref="E1"/>
      <selection pane="bottomLeft" activeCell="A2" sqref="A2"/>
      <selection pane="bottomRight" activeCell="M22" sqref="M22"/>
    </sheetView>
  </sheetViews>
  <sheetFormatPr baseColWidth="10" defaultColWidth="11.28515625" defaultRowHeight="12.75" x14ac:dyDescent="0.2"/>
  <cols>
    <col min="1" max="1" width="3" bestFit="1" customWidth="1"/>
    <col min="2" max="2" width="4.28515625" bestFit="1" customWidth="1"/>
    <col min="3" max="3" width="18.140625" bestFit="1" customWidth="1"/>
    <col min="4" max="4" width="8.140625" bestFit="1" customWidth="1"/>
    <col min="5" max="5" width="10.42578125" bestFit="1" customWidth="1"/>
    <col min="6" max="6" width="7.85546875" bestFit="1" customWidth="1"/>
    <col min="7" max="7" width="13.140625" style="40" bestFit="1" customWidth="1"/>
    <col min="8" max="8" width="8.140625" bestFit="1" customWidth="1"/>
    <col min="9" max="9" width="9" bestFit="1" customWidth="1"/>
    <col min="10" max="10" width="4.5703125" style="44" bestFit="1" customWidth="1"/>
    <col min="11" max="11" width="6" style="56" bestFit="1" customWidth="1"/>
    <col min="12" max="12" width="5.140625" style="56" bestFit="1" customWidth="1"/>
    <col min="13" max="13" width="6.140625" style="56" bestFit="1" customWidth="1"/>
    <col min="14" max="14" width="5.5703125" style="56" bestFit="1" customWidth="1"/>
    <col min="15" max="15" width="8.140625" bestFit="1" customWidth="1"/>
  </cols>
  <sheetData>
    <row r="1" spans="1:15" s="20" customFormat="1" x14ac:dyDescent="0.2">
      <c r="A1" s="72" t="s">
        <v>46</v>
      </c>
      <c r="B1" s="72" t="s">
        <v>65</v>
      </c>
      <c r="C1" s="72" t="s">
        <v>66</v>
      </c>
      <c r="D1" s="72" t="s">
        <v>53</v>
      </c>
      <c r="E1" s="72" t="s">
        <v>54</v>
      </c>
      <c r="F1" s="72" t="s">
        <v>49</v>
      </c>
      <c r="G1" s="73" t="s">
        <v>105</v>
      </c>
      <c r="H1" s="72" t="s">
        <v>67</v>
      </c>
      <c r="I1" s="72" t="s">
        <v>68</v>
      </c>
      <c r="J1" s="41" t="s">
        <v>101</v>
      </c>
      <c r="K1" s="26" t="s">
        <v>103</v>
      </c>
      <c r="L1" s="26" t="s">
        <v>108</v>
      </c>
      <c r="M1" s="26" t="s">
        <v>64</v>
      </c>
      <c r="N1" s="26" t="s">
        <v>104</v>
      </c>
      <c r="O1" s="74" t="s">
        <v>115</v>
      </c>
    </row>
    <row r="2" spans="1:15" s="57" customFormat="1" x14ac:dyDescent="0.2">
      <c r="A2" s="75">
        <v>1</v>
      </c>
      <c r="B2" s="75" t="s">
        <v>28</v>
      </c>
      <c r="C2" s="75" t="s">
        <v>29</v>
      </c>
      <c r="D2" s="76">
        <v>0.375</v>
      </c>
      <c r="E2" s="76">
        <v>2.119212962962963E-2</v>
      </c>
      <c r="F2" s="75" t="s">
        <v>69</v>
      </c>
      <c r="G2" s="77">
        <v>6.1</v>
      </c>
      <c r="H2" s="76">
        <v>2.119212962962963E-2</v>
      </c>
      <c r="I2" s="78">
        <v>0.20833333333333334</v>
      </c>
      <c r="J2" s="58">
        <v>1</v>
      </c>
      <c r="K2" s="59">
        <f t="shared" ref="K2:K31" si="0">VLOOKUP(J2,Erm,2,FALSE)</f>
        <v>1</v>
      </c>
      <c r="L2" s="79">
        <v>1</v>
      </c>
      <c r="M2" s="79">
        <f t="shared" ref="M2:M31" si="1">VLOOKUP(1+D2-Startzeit,Zeit,2)</f>
        <v>1</v>
      </c>
      <c r="N2" s="79">
        <f>K2*L2*M2</f>
        <v>1</v>
      </c>
      <c r="O2" s="78">
        <f>I2/N2</f>
        <v>0.20833333333333334</v>
      </c>
    </row>
    <row r="3" spans="1:15" s="60" customFormat="1" x14ac:dyDescent="0.2">
      <c r="A3" s="80">
        <v>2</v>
      </c>
      <c r="B3" s="80" t="s">
        <v>30</v>
      </c>
      <c r="C3" s="80" t="s">
        <v>31</v>
      </c>
      <c r="D3" s="81">
        <v>0.39619212962962963</v>
      </c>
      <c r="E3" s="81">
        <v>3.7083333333333336E-2</v>
      </c>
      <c r="F3" s="80" t="s">
        <v>75</v>
      </c>
      <c r="G3" s="82">
        <v>8.1999999999999993</v>
      </c>
      <c r="H3" s="81">
        <v>3.7083333333333336E-2</v>
      </c>
      <c r="I3" s="83">
        <v>0.27152777777777776</v>
      </c>
      <c r="J3" s="61">
        <v>1</v>
      </c>
      <c r="K3" s="62">
        <f t="shared" si="0"/>
        <v>1</v>
      </c>
      <c r="L3" s="84">
        <v>1</v>
      </c>
      <c r="M3" s="84">
        <f t="shared" si="1"/>
        <v>1</v>
      </c>
      <c r="N3" s="84">
        <f t="shared" ref="N3:N31" si="2">K3*L3*M3</f>
        <v>1</v>
      </c>
      <c r="O3" s="83">
        <f t="shared" ref="O3:O31" si="3">I3/N3</f>
        <v>0.27152777777777776</v>
      </c>
    </row>
    <row r="4" spans="1:15" s="63" customFormat="1" x14ac:dyDescent="0.2">
      <c r="A4" s="85">
        <v>3</v>
      </c>
      <c r="B4" s="85" t="s">
        <v>32</v>
      </c>
      <c r="C4" s="85" t="s">
        <v>33</v>
      </c>
      <c r="D4" s="86">
        <v>0.43327546296296293</v>
      </c>
      <c r="E4" s="86">
        <v>3.349537037037037E-2</v>
      </c>
      <c r="F4" s="85" t="s">
        <v>80</v>
      </c>
      <c r="G4" s="87">
        <v>8.1999999999999993</v>
      </c>
      <c r="H4" s="86">
        <v>3.349537037037037E-2</v>
      </c>
      <c r="I4" s="88">
        <v>0.24513888888888888</v>
      </c>
      <c r="J4" s="64">
        <v>1</v>
      </c>
      <c r="K4" s="65">
        <f t="shared" si="0"/>
        <v>1</v>
      </c>
      <c r="L4" s="89">
        <v>1</v>
      </c>
      <c r="M4" s="89">
        <f t="shared" si="1"/>
        <v>1</v>
      </c>
      <c r="N4" s="89">
        <f t="shared" si="2"/>
        <v>1</v>
      </c>
      <c r="O4" s="88">
        <f t="shared" si="3"/>
        <v>0.24513888888888888</v>
      </c>
    </row>
    <row r="5" spans="1:15" s="69" customFormat="1" x14ac:dyDescent="0.2">
      <c r="A5" s="90">
        <v>4</v>
      </c>
      <c r="B5" s="90" t="s">
        <v>34</v>
      </c>
      <c r="C5" s="90" t="s">
        <v>38</v>
      </c>
      <c r="D5" s="91">
        <v>0.46677083333333336</v>
      </c>
      <c r="E5" s="91">
        <v>3.0046296296296297E-2</v>
      </c>
      <c r="F5" s="90" t="s">
        <v>84</v>
      </c>
      <c r="G5" s="92">
        <v>5.25</v>
      </c>
      <c r="H5" s="91">
        <v>3.0046296296296297E-2</v>
      </c>
      <c r="I5" s="93">
        <v>0.3430555555555555</v>
      </c>
      <c r="J5" s="70">
        <v>1</v>
      </c>
      <c r="K5" s="71">
        <f t="shared" si="0"/>
        <v>1</v>
      </c>
      <c r="L5" s="94">
        <v>1</v>
      </c>
      <c r="M5" s="94">
        <f t="shared" si="1"/>
        <v>1</v>
      </c>
      <c r="N5" s="94">
        <f t="shared" si="2"/>
        <v>1</v>
      </c>
      <c r="O5" s="93">
        <f t="shared" si="3"/>
        <v>0.3430555555555555</v>
      </c>
    </row>
    <row r="6" spans="1:15" s="66" customFormat="1" x14ac:dyDescent="0.2">
      <c r="A6" s="95">
        <v>5</v>
      </c>
      <c r="B6" s="95" t="s">
        <v>35</v>
      </c>
      <c r="C6" s="95" t="s">
        <v>36</v>
      </c>
      <c r="D6" s="96">
        <v>0.46677083333333336</v>
      </c>
      <c r="E6" s="96">
        <v>6.7523148148148152E-2</v>
      </c>
      <c r="F6" s="95" t="s">
        <v>87</v>
      </c>
      <c r="G6" s="97">
        <v>6.25</v>
      </c>
      <c r="H6" s="96">
        <v>3.7476851851851851E-2</v>
      </c>
      <c r="I6" s="98">
        <v>0.35972222222222222</v>
      </c>
      <c r="J6" s="67">
        <v>1</v>
      </c>
      <c r="K6" s="68">
        <f t="shared" si="0"/>
        <v>1</v>
      </c>
      <c r="L6" s="99">
        <v>1.1000000000000001</v>
      </c>
      <c r="M6" s="99">
        <f t="shared" si="1"/>
        <v>1</v>
      </c>
      <c r="N6" s="99">
        <f t="shared" si="2"/>
        <v>1.1000000000000001</v>
      </c>
      <c r="O6" s="98">
        <f t="shared" si="3"/>
        <v>0.32702020202020199</v>
      </c>
    </row>
    <row r="7" spans="1:15" x14ac:dyDescent="0.2">
      <c r="A7" s="1">
        <v>6</v>
      </c>
      <c r="B7" s="1" t="s">
        <v>37</v>
      </c>
      <c r="C7" s="1" t="s">
        <v>92</v>
      </c>
      <c r="D7" s="100">
        <v>0.49681712962962959</v>
      </c>
      <c r="E7" s="100">
        <v>6.8495370370370359E-2</v>
      </c>
      <c r="F7" s="1" t="s">
        <v>93</v>
      </c>
      <c r="G7" s="101">
        <v>5.25</v>
      </c>
      <c r="H7" s="100">
        <v>3.1018518518518515E-2</v>
      </c>
      <c r="I7" s="102">
        <v>0.35416666666666669</v>
      </c>
      <c r="J7" s="42">
        <v>1</v>
      </c>
      <c r="K7" s="24">
        <f t="shared" si="0"/>
        <v>1</v>
      </c>
      <c r="L7" s="103">
        <v>1</v>
      </c>
      <c r="M7" s="103">
        <f t="shared" si="1"/>
        <v>1</v>
      </c>
      <c r="N7" s="103">
        <f t="shared" si="2"/>
        <v>1</v>
      </c>
      <c r="O7" s="102">
        <f t="shared" si="3"/>
        <v>0.35416666666666669</v>
      </c>
    </row>
    <row r="8" spans="1:15" s="57" customFormat="1" x14ac:dyDescent="0.2">
      <c r="A8" s="75">
        <v>7</v>
      </c>
      <c r="B8" s="75" t="s">
        <v>28</v>
      </c>
      <c r="C8" s="75" t="s">
        <v>29</v>
      </c>
      <c r="D8" s="76">
        <v>0.53429398148148144</v>
      </c>
      <c r="E8" s="76">
        <v>7.1608796296296295E-2</v>
      </c>
      <c r="F8" s="75" t="s">
        <v>70</v>
      </c>
      <c r="G8" s="77">
        <v>10.55</v>
      </c>
      <c r="H8" s="76">
        <v>4.0590277777777781E-2</v>
      </c>
      <c r="I8" s="78">
        <v>0.23055555555555554</v>
      </c>
      <c r="J8" s="58">
        <f t="shared" ref="J8:J30" si="4">J2+1</f>
        <v>2</v>
      </c>
      <c r="K8" s="59">
        <f t="shared" si="0"/>
        <v>1.0416666666666667</v>
      </c>
      <c r="L8" s="79">
        <v>1.1000000000000001</v>
      </c>
      <c r="M8" s="79">
        <f t="shared" si="1"/>
        <v>1</v>
      </c>
      <c r="N8" s="79">
        <f t="shared" si="2"/>
        <v>1.1458333333333335</v>
      </c>
      <c r="O8" s="78">
        <f t="shared" si="3"/>
        <v>0.20121212121212118</v>
      </c>
    </row>
    <row r="9" spans="1:15" s="60" customFormat="1" x14ac:dyDescent="0.2">
      <c r="A9" s="80">
        <v>8</v>
      </c>
      <c r="B9" s="80" t="s">
        <v>30</v>
      </c>
      <c r="C9" s="80" t="s">
        <v>31</v>
      </c>
      <c r="D9" s="81">
        <v>0.60590277777777779</v>
      </c>
      <c r="E9" s="81">
        <v>5.2210648148148152E-2</v>
      </c>
      <c r="F9" s="80" t="s">
        <v>76</v>
      </c>
      <c r="G9" s="82">
        <v>10.55</v>
      </c>
      <c r="H9" s="81">
        <v>5.2210648148148152E-2</v>
      </c>
      <c r="I9" s="83">
        <v>0.29722222222222222</v>
      </c>
      <c r="J9" s="61">
        <f t="shared" si="4"/>
        <v>2</v>
      </c>
      <c r="K9" s="62">
        <f t="shared" si="0"/>
        <v>1.0416666666666667</v>
      </c>
      <c r="L9" s="84">
        <v>1.1000000000000001</v>
      </c>
      <c r="M9" s="84">
        <f t="shared" si="1"/>
        <v>1</v>
      </c>
      <c r="N9" s="84">
        <f t="shared" si="2"/>
        <v>1.1458333333333335</v>
      </c>
      <c r="O9" s="83">
        <f t="shared" si="3"/>
        <v>0.25939393939393934</v>
      </c>
    </row>
    <row r="10" spans="1:15" s="63" customFormat="1" x14ac:dyDescent="0.2">
      <c r="A10" s="85">
        <v>9</v>
      </c>
      <c r="B10" s="85" t="s">
        <v>32</v>
      </c>
      <c r="C10" s="85" t="s">
        <v>33</v>
      </c>
      <c r="D10" s="86">
        <v>0.65811342592592592</v>
      </c>
      <c r="E10" s="86">
        <v>4.1631944444444451E-2</v>
      </c>
      <c r="F10" s="85" t="s">
        <v>81</v>
      </c>
      <c r="G10" s="87">
        <v>8.1999999999999993</v>
      </c>
      <c r="H10" s="86">
        <v>4.1631944444444451E-2</v>
      </c>
      <c r="I10" s="88">
        <v>0.30486111111111108</v>
      </c>
      <c r="J10" s="64">
        <f t="shared" si="4"/>
        <v>2</v>
      </c>
      <c r="K10" s="65">
        <f t="shared" si="0"/>
        <v>1.0416666666666667</v>
      </c>
      <c r="L10" s="89">
        <v>1</v>
      </c>
      <c r="M10" s="89">
        <f t="shared" si="1"/>
        <v>1</v>
      </c>
      <c r="N10" s="89">
        <f t="shared" si="2"/>
        <v>1.0416666666666667</v>
      </c>
      <c r="O10" s="88">
        <f t="shared" si="3"/>
        <v>0.29266666666666663</v>
      </c>
    </row>
    <row r="11" spans="1:15" s="69" customFormat="1" x14ac:dyDescent="0.2">
      <c r="A11" s="90">
        <v>10</v>
      </c>
      <c r="B11" s="90" t="s">
        <v>34</v>
      </c>
      <c r="C11" s="90" t="s">
        <v>38</v>
      </c>
      <c r="D11" s="91">
        <v>0.69974537037037043</v>
      </c>
      <c r="E11" s="91">
        <v>3.5231481481481482E-2</v>
      </c>
      <c r="F11" s="90" t="s">
        <v>85</v>
      </c>
      <c r="G11" s="92">
        <v>5.25</v>
      </c>
      <c r="H11" s="91">
        <v>3.5231481481481482E-2</v>
      </c>
      <c r="I11" s="93">
        <v>0.40277777777777773</v>
      </c>
      <c r="J11" s="70">
        <f t="shared" si="4"/>
        <v>2</v>
      </c>
      <c r="K11" s="71">
        <f t="shared" si="0"/>
        <v>1.0416666666666667</v>
      </c>
      <c r="L11" s="94">
        <v>1</v>
      </c>
      <c r="M11" s="94">
        <f t="shared" si="1"/>
        <v>1</v>
      </c>
      <c r="N11" s="94">
        <f t="shared" si="2"/>
        <v>1.0416666666666667</v>
      </c>
      <c r="O11" s="93">
        <f t="shared" si="3"/>
        <v>0.3866666666666666</v>
      </c>
    </row>
    <row r="12" spans="1:15" s="66" customFormat="1" x14ac:dyDescent="0.2">
      <c r="A12" s="95">
        <v>11</v>
      </c>
      <c r="B12" s="95" t="s">
        <v>35</v>
      </c>
      <c r="C12" s="95" t="s">
        <v>36</v>
      </c>
      <c r="D12" s="96">
        <v>0.7349768518518518</v>
      </c>
      <c r="E12" s="96">
        <v>2.5624999999999998E-2</v>
      </c>
      <c r="F12" s="95" t="s">
        <v>88</v>
      </c>
      <c r="G12" s="97">
        <v>5.25</v>
      </c>
      <c r="H12" s="96">
        <v>2.5624999999999998E-2</v>
      </c>
      <c r="I12" s="98">
        <v>0.29305555555555557</v>
      </c>
      <c r="J12" s="67">
        <f t="shared" si="4"/>
        <v>2</v>
      </c>
      <c r="K12" s="68">
        <f t="shared" si="0"/>
        <v>1.0416666666666667</v>
      </c>
      <c r="L12" s="99">
        <v>1</v>
      </c>
      <c r="M12" s="99">
        <f t="shared" si="1"/>
        <v>1</v>
      </c>
      <c r="N12" s="99">
        <f t="shared" si="2"/>
        <v>1.0416666666666667</v>
      </c>
      <c r="O12" s="98">
        <f t="shared" si="3"/>
        <v>0.28133333333333332</v>
      </c>
    </row>
    <row r="13" spans="1:15" x14ac:dyDescent="0.2">
      <c r="A13" s="1">
        <v>12</v>
      </c>
      <c r="B13" s="1" t="s">
        <v>37</v>
      </c>
      <c r="C13" s="1" t="s">
        <v>92</v>
      </c>
      <c r="D13" s="100">
        <v>0.76060185185185192</v>
      </c>
      <c r="E13" s="100">
        <v>3.9918981481481479E-2</v>
      </c>
      <c r="F13" s="1" t="s">
        <v>94</v>
      </c>
      <c r="G13" s="101">
        <v>6.25</v>
      </c>
      <c r="H13" s="100">
        <v>3.9918981481481479E-2</v>
      </c>
      <c r="I13" s="102">
        <v>0.3833333333333333</v>
      </c>
      <c r="J13" s="42">
        <f t="shared" si="4"/>
        <v>2</v>
      </c>
      <c r="K13" s="24">
        <f t="shared" si="0"/>
        <v>1.0416666666666667</v>
      </c>
      <c r="L13" s="103">
        <v>1.1000000000000001</v>
      </c>
      <c r="M13" s="103">
        <f t="shared" si="1"/>
        <v>1</v>
      </c>
      <c r="N13" s="103">
        <f t="shared" si="2"/>
        <v>1.1458333333333335</v>
      </c>
      <c r="O13" s="102">
        <f t="shared" si="3"/>
        <v>0.33454545454545448</v>
      </c>
    </row>
    <row r="14" spans="1:15" s="57" customFormat="1" x14ac:dyDescent="0.2">
      <c r="A14" s="75">
        <v>13</v>
      </c>
      <c r="B14" s="75" t="s">
        <v>28</v>
      </c>
      <c r="C14" s="75" t="s">
        <v>29</v>
      </c>
      <c r="D14" s="76">
        <v>0.80052083333333324</v>
      </c>
      <c r="E14" s="76">
        <v>3.6701388888888888E-2</v>
      </c>
      <c r="F14" s="75" t="s">
        <v>71</v>
      </c>
      <c r="G14" s="77">
        <v>8.1999999999999993</v>
      </c>
      <c r="H14" s="76">
        <v>3.6701388888888888E-2</v>
      </c>
      <c r="I14" s="78">
        <v>0.26874999999999999</v>
      </c>
      <c r="J14" s="58">
        <f t="shared" si="4"/>
        <v>3</v>
      </c>
      <c r="K14" s="59">
        <f t="shared" si="0"/>
        <v>1.0833333333333333</v>
      </c>
      <c r="L14" s="79">
        <v>1</v>
      </c>
      <c r="M14" s="79">
        <f t="shared" si="1"/>
        <v>1</v>
      </c>
      <c r="N14" s="79">
        <f t="shared" si="2"/>
        <v>1.0833333333333333</v>
      </c>
      <c r="O14" s="78">
        <f t="shared" si="3"/>
        <v>0.24807692307692308</v>
      </c>
    </row>
    <row r="15" spans="1:15" s="60" customFormat="1" x14ac:dyDescent="0.2">
      <c r="A15" s="80">
        <v>14</v>
      </c>
      <c r="B15" s="80" t="s">
        <v>30</v>
      </c>
      <c r="C15" s="80" t="s">
        <v>31</v>
      </c>
      <c r="D15" s="81">
        <v>0.8372222222222222</v>
      </c>
      <c r="E15" s="81">
        <v>2.9317129629629634E-2</v>
      </c>
      <c r="F15" s="80" t="s">
        <v>77</v>
      </c>
      <c r="G15" s="82">
        <v>6.25</v>
      </c>
      <c r="H15" s="81">
        <v>2.9317129629629634E-2</v>
      </c>
      <c r="I15" s="83">
        <v>0.28125</v>
      </c>
      <c r="J15" s="61">
        <f t="shared" si="4"/>
        <v>3</v>
      </c>
      <c r="K15" s="62">
        <f t="shared" si="0"/>
        <v>1.0833333333333333</v>
      </c>
      <c r="L15" s="84">
        <v>1.1000000000000001</v>
      </c>
      <c r="M15" s="84">
        <f t="shared" si="1"/>
        <v>1.1000000000000001</v>
      </c>
      <c r="N15" s="84">
        <f t="shared" si="2"/>
        <v>1.3108333333333335</v>
      </c>
      <c r="O15" s="83">
        <f t="shared" si="3"/>
        <v>0.21455816910362363</v>
      </c>
    </row>
    <row r="16" spans="1:15" s="63" customFormat="1" x14ac:dyDescent="0.2">
      <c r="A16" s="85">
        <v>15</v>
      </c>
      <c r="B16" s="85" t="s">
        <v>32</v>
      </c>
      <c r="C16" s="85" t="s">
        <v>33</v>
      </c>
      <c r="D16" s="86">
        <v>0.86653935185185194</v>
      </c>
      <c r="E16" s="86">
        <v>2.5277777777777777E-2</v>
      </c>
      <c r="F16" s="85" t="s">
        <v>20</v>
      </c>
      <c r="G16" s="87">
        <v>5.95</v>
      </c>
      <c r="H16" s="86">
        <v>2.5277777777777777E-2</v>
      </c>
      <c r="I16" s="88">
        <v>0.25486111111111109</v>
      </c>
      <c r="J16" s="64">
        <f t="shared" si="4"/>
        <v>3</v>
      </c>
      <c r="K16" s="65">
        <f t="shared" si="0"/>
        <v>1.0833333333333333</v>
      </c>
      <c r="L16" s="89">
        <v>1</v>
      </c>
      <c r="M16" s="89">
        <f t="shared" si="1"/>
        <v>1.1000000000000001</v>
      </c>
      <c r="N16" s="89">
        <f t="shared" si="2"/>
        <v>1.1916666666666667</v>
      </c>
      <c r="O16" s="88">
        <f t="shared" si="3"/>
        <v>0.21386946386946384</v>
      </c>
    </row>
    <row r="17" spans="1:15" s="69" customFormat="1" x14ac:dyDescent="0.2">
      <c r="A17" s="90">
        <v>16</v>
      </c>
      <c r="B17" s="90" t="s">
        <v>34</v>
      </c>
      <c r="C17" s="90" t="s">
        <v>38</v>
      </c>
      <c r="D17" s="91">
        <v>0.89181712962962967</v>
      </c>
      <c r="E17" s="91">
        <v>2.0266203703703703E-2</v>
      </c>
      <c r="F17" s="90" t="s">
        <v>19</v>
      </c>
      <c r="G17" s="92">
        <v>3.85</v>
      </c>
      <c r="H17" s="91">
        <v>2.0266203703703703E-2</v>
      </c>
      <c r="I17" s="93">
        <v>0.31597222222222221</v>
      </c>
      <c r="J17" s="70">
        <f t="shared" si="4"/>
        <v>3</v>
      </c>
      <c r="K17" s="71">
        <f t="shared" si="0"/>
        <v>1.0833333333333333</v>
      </c>
      <c r="L17" s="94">
        <v>1</v>
      </c>
      <c r="M17" s="94">
        <f t="shared" si="1"/>
        <v>1.1000000000000001</v>
      </c>
      <c r="N17" s="94">
        <f t="shared" si="2"/>
        <v>1.1916666666666667</v>
      </c>
      <c r="O17" s="93">
        <f t="shared" si="3"/>
        <v>0.26515151515151514</v>
      </c>
    </row>
    <row r="18" spans="1:15" s="66" customFormat="1" x14ac:dyDescent="0.2">
      <c r="A18" s="95">
        <v>17</v>
      </c>
      <c r="B18" s="95" t="s">
        <v>35</v>
      </c>
      <c r="C18" s="95" t="s">
        <v>36</v>
      </c>
      <c r="D18" s="96">
        <v>0.91208333333333336</v>
      </c>
      <c r="E18" s="96">
        <v>1.9375E-2</v>
      </c>
      <c r="F18" s="95" t="s">
        <v>89</v>
      </c>
      <c r="G18" s="97">
        <v>4.4000000000000004</v>
      </c>
      <c r="H18" s="96">
        <v>1.9375E-2</v>
      </c>
      <c r="I18" s="98">
        <v>0.2638888888888889</v>
      </c>
      <c r="J18" s="67">
        <f t="shared" si="4"/>
        <v>3</v>
      </c>
      <c r="K18" s="68">
        <f t="shared" si="0"/>
        <v>1.0833333333333333</v>
      </c>
      <c r="L18" s="99">
        <v>1</v>
      </c>
      <c r="M18" s="99">
        <f t="shared" si="1"/>
        <v>1.2</v>
      </c>
      <c r="N18" s="99">
        <f t="shared" si="2"/>
        <v>1.2999999999999998</v>
      </c>
      <c r="O18" s="98">
        <f t="shared" si="3"/>
        <v>0.20299145299145302</v>
      </c>
    </row>
    <row r="19" spans="1:15" x14ac:dyDescent="0.2">
      <c r="A19" s="1">
        <v>18</v>
      </c>
      <c r="B19" s="1" t="s">
        <v>37</v>
      </c>
      <c r="C19" s="1" t="s">
        <v>92</v>
      </c>
      <c r="D19" s="100">
        <v>0.93145833333333339</v>
      </c>
      <c r="E19" s="100">
        <v>2.3067129629629632E-2</v>
      </c>
      <c r="F19" s="1" t="s">
        <v>95</v>
      </c>
      <c r="G19" s="101">
        <v>4.4000000000000004</v>
      </c>
      <c r="H19" s="100">
        <v>2.3067129629629632E-2</v>
      </c>
      <c r="I19" s="102">
        <v>0.31458333333333333</v>
      </c>
      <c r="J19" s="42">
        <f t="shared" si="4"/>
        <v>3</v>
      </c>
      <c r="K19" s="24">
        <f t="shared" si="0"/>
        <v>1.0833333333333333</v>
      </c>
      <c r="L19" s="103">
        <v>1</v>
      </c>
      <c r="M19" s="103">
        <f t="shared" si="1"/>
        <v>1.2</v>
      </c>
      <c r="N19" s="103">
        <f t="shared" si="2"/>
        <v>1.2999999999999998</v>
      </c>
      <c r="O19" s="102">
        <f t="shared" si="3"/>
        <v>0.24198717948717952</v>
      </c>
    </row>
    <row r="20" spans="1:15" s="57" customFormat="1" x14ac:dyDescent="0.2">
      <c r="A20" s="75">
        <v>19</v>
      </c>
      <c r="B20" s="75" t="s">
        <v>28</v>
      </c>
      <c r="C20" s="75" t="s">
        <v>29</v>
      </c>
      <c r="D20" s="76">
        <v>0.95452546296296292</v>
      </c>
      <c r="E20" s="76">
        <v>3.5578703703703703E-2</v>
      </c>
      <c r="F20" s="75" t="s">
        <v>72</v>
      </c>
      <c r="G20" s="77">
        <v>7.5</v>
      </c>
      <c r="H20" s="76">
        <v>3.5578703703703703E-2</v>
      </c>
      <c r="I20" s="78">
        <v>0.28472222222222221</v>
      </c>
      <c r="J20" s="58">
        <f t="shared" si="4"/>
        <v>4</v>
      </c>
      <c r="K20" s="59">
        <f t="shared" si="0"/>
        <v>1.125</v>
      </c>
      <c r="L20" s="79">
        <v>1</v>
      </c>
      <c r="M20" s="79">
        <f t="shared" si="1"/>
        <v>1.2</v>
      </c>
      <c r="N20" s="79">
        <f t="shared" si="2"/>
        <v>1.3499999999999999</v>
      </c>
      <c r="O20" s="78">
        <f t="shared" si="3"/>
        <v>0.21090534979423869</v>
      </c>
    </row>
    <row r="21" spans="1:15" s="60" customFormat="1" x14ac:dyDescent="0.2">
      <c r="A21" s="80">
        <v>20</v>
      </c>
      <c r="B21" s="80" t="s">
        <v>30</v>
      </c>
      <c r="C21" s="80" t="s">
        <v>31</v>
      </c>
      <c r="D21" s="81">
        <v>0.99010416666666667</v>
      </c>
      <c r="E21" s="81">
        <v>4.1932870370370377E-2</v>
      </c>
      <c r="F21" s="80" t="s">
        <v>78</v>
      </c>
      <c r="G21" s="82">
        <v>7.5</v>
      </c>
      <c r="H21" s="81">
        <v>4.1932870370370377E-2</v>
      </c>
      <c r="I21" s="83">
        <v>0.3354166666666667</v>
      </c>
      <c r="J21" s="61">
        <f t="shared" si="4"/>
        <v>4</v>
      </c>
      <c r="K21" s="62">
        <f t="shared" si="0"/>
        <v>1.125</v>
      </c>
      <c r="L21" s="84">
        <v>1</v>
      </c>
      <c r="M21" s="84">
        <f t="shared" si="1"/>
        <v>1.2</v>
      </c>
      <c r="N21" s="84">
        <f t="shared" si="2"/>
        <v>1.3499999999999999</v>
      </c>
      <c r="O21" s="83">
        <f t="shared" si="3"/>
        <v>0.24845679012345684</v>
      </c>
    </row>
    <row r="22" spans="1:15" s="63" customFormat="1" x14ac:dyDescent="0.2">
      <c r="A22" s="85">
        <v>21</v>
      </c>
      <c r="B22" s="85" t="s">
        <v>32</v>
      </c>
      <c r="C22" s="85" t="s">
        <v>33</v>
      </c>
      <c r="D22" s="86">
        <v>1.0320370370370371</v>
      </c>
      <c r="E22" s="86">
        <v>4.5451388888888888E-2</v>
      </c>
      <c r="F22" s="85" t="s">
        <v>82</v>
      </c>
      <c r="G22" s="87">
        <v>7.5</v>
      </c>
      <c r="H22" s="86">
        <v>4.5451388888888888E-2</v>
      </c>
      <c r="I22" s="88">
        <v>0.36388888888888887</v>
      </c>
      <c r="J22" s="64">
        <f t="shared" si="4"/>
        <v>4</v>
      </c>
      <c r="K22" s="65">
        <f t="shared" si="0"/>
        <v>1.125</v>
      </c>
      <c r="L22" s="89">
        <v>1</v>
      </c>
      <c r="M22" s="89">
        <f>VLOOKUP(1+D22-Startzeit,Zeit,2)</f>
        <v>1.2</v>
      </c>
      <c r="N22" s="89">
        <f t="shared" si="2"/>
        <v>1.3499999999999999</v>
      </c>
      <c r="O22" s="88">
        <f t="shared" si="3"/>
        <v>0.26954732510288065</v>
      </c>
    </row>
    <row r="23" spans="1:15" s="69" customFormat="1" x14ac:dyDescent="0.2">
      <c r="A23" s="90">
        <v>22</v>
      </c>
      <c r="B23" s="90" t="s">
        <v>34</v>
      </c>
      <c r="C23" s="90" t="s">
        <v>38</v>
      </c>
      <c r="D23" s="91">
        <v>1.0774884259259259</v>
      </c>
      <c r="E23" s="91">
        <v>2.525462962962963E-2</v>
      </c>
      <c r="F23" s="90" t="s">
        <v>86</v>
      </c>
      <c r="G23" s="92">
        <v>4.4000000000000004</v>
      </c>
      <c r="H23" s="91">
        <v>2.525462962962963E-2</v>
      </c>
      <c r="I23" s="93">
        <v>0.3444444444444445</v>
      </c>
      <c r="J23" s="70">
        <f t="shared" si="4"/>
        <v>4</v>
      </c>
      <c r="K23" s="71">
        <f t="shared" si="0"/>
        <v>1.125</v>
      </c>
      <c r="L23" s="94">
        <v>1</v>
      </c>
      <c r="M23" s="94">
        <f t="shared" si="1"/>
        <v>1.2</v>
      </c>
      <c r="N23" s="94">
        <f t="shared" si="2"/>
        <v>1.3499999999999999</v>
      </c>
      <c r="O23" s="93">
        <f t="shared" si="3"/>
        <v>0.25514403292181076</v>
      </c>
    </row>
    <row r="24" spans="1:15" s="66" customFormat="1" x14ac:dyDescent="0.2">
      <c r="A24" s="95">
        <v>23</v>
      </c>
      <c r="B24" s="95" t="s">
        <v>35</v>
      </c>
      <c r="C24" s="95" t="s">
        <v>36</v>
      </c>
      <c r="D24" s="96">
        <v>1.1027430555555555</v>
      </c>
      <c r="E24" s="96">
        <v>2.3460648148148147E-2</v>
      </c>
      <c r="F24" s="95" t="s">
        <v>90</v>
      </c>
      <c r="G24" s="97">
        <v>4.4000000000000004</v>
      </c>
      <c r="H24" s="96">
        <v>2.3460648148148147E-2</v>
      </c>
      <c r="I24" s="98">
        <v>0.32013888888888892</v>
      </c>
      <c r="J24" s="67">
        <f t="shared" si="4"/>
        <v>4</v>
      </c>
      <c r="K24" s="68">
        <f t="shared" si="0"/>
        <v>1.125</v>
      </c>
      <c r="L24" s="99">
        <v>1</v>
      </c>
      <c r="M24" s="99">
        <f t="shared" si="1"/>
        <v>1.2</v>
      </c>
      <c r="N24" s="99">
        <f t="shared" si="2"/>
        <v>1.3499999999999999</v>
      </c>
      <c r="O24" s="98">
        <f t="shared" si="3"/>
        <v>0.2371399176954733</v>
      </c>
    </row>
    <row r="25" spans="1:15" x14ac:dyDescent="0.2">
      <c r="A25" s="1">
        <v>24</v>
      </c>
      <c r="B25" s="1" t="s">
        <v>37</v>
      </c>
      <c r="C25" s="1" t="s">
        <v>92</v>
      </c>
      <c r="D25" s="100">
        <v>1.1262037037037036</v>
      </c>
      <c r="E25" s="100">
        <v>2.5277777777777777E-2</v>
      </c>
      <c r="F25" s="1" t="s">
        <v>96</v>
      </c>
      <c r="G25" s="101">
        <v>4.4000000000000004</v>
      </c>
      <c r="H25" s="100">
        <v>2.5277777777777777E-2</v>
      </c>
      <c r="I25" s="102">
        <v>0.3444444444444445</v>
      </c>
      <c r="J25" s="42">
        <f t="shared" si="4"/>
        <v>4</v>
      </c>
      <c r="K25" s="24">
        <f t="shared" si="0"/>
        <v>1.125</v>
      </c>
      <c r="L25" s="103">
        <v>1</v>
      </c>
      <c r="M25" s="103">
        <f t="shared" si="1"/>
        <v>1.2</v>
      </c>
      <c r="N25" s="103">
        <f t="shared" si="2"/>
        <v>1.3499999999999999</v>
      </c>
      <c r="O25" s="102">
        <f t="shared" si="3"/>
        <v>0.25514403292181076</v>
      </c>
    </row>
    <row r="26" spans="1:15" s="57" customFormat="1" x14ac:dyDescent="0.2">
      <c r="A26" s="75">
        <v>25</v>
      </c>
      <c r="B26" s="75" t="s">
        <v>28</v>
      </c>
      <c r="C26" s="75" t="s">
        <v>29</v>
      </c>
      <c r="D26" s="76">
        <v>1.1514814814814816</v>
      </c>
      <c r="E26" s="76">
        <v>4.0752314814814811E-2</v>
      </c>
      <c r="F26" s="75" t="s">
        <v>73</v>
      </c>
      <c r="G26" s="77">
        <v>5.5</v>
      </c>
      <c r="H26" s="76">
        <v>4.0752314814814811E-2</v>
      </c>
      <c r="I26" s="78">
        <v>0.44444444444444442</v>
      </c>
      <c r="J26" s="58">
        <f t="shared" si="4"/>
        <v>5</v>
      </c>
      <c r="K26" s="59">
        <f t="shared" si="0"/>
        <v>1.1666666666666667</v>
      </c>
      <c r="L26" s="79">
        <v>1.1000000000000001</v>
      </c>
      <c r="M26" s="79">
        <f t="shared" si="1"/>
        <v>1.2</v>
      </c>
      <c r="N26" s="79">
        <f t="shared" si="2"/>
        <v>1.54</v>
      </c>
      <c r="O26" s="78">
        <f t="shared" si="3"/>
        <v>0.28860028860028858</v>
      </c>
    </row>
    <row r="27" spans="1:15" s="60" customFormat="1" x14ac:dyDescent="0.2">
      <c r="A27" s="80">
        <v>26</v>
      </c>
      <c r="B27" s="80" t="s">
        <v>30</v>
      </c>
      <c r="C27" s="80" t="s">
        <v>31</v>
      </c>
      <c r="D27" s="81">
        <v>1.1922337962962963</v>
      </c>
      <c r="E27" s="81">
        <v>4.4618055555555557E-2</v>
      </c>
      <c r="F27" s="80" t="s">
        <v>79</v>
      </c>
      <c r="G27" s="82">
        <v>7.65</v>
      </c>
      <c r="H27" s="81">
        <v>4.4618055555555557E-2</v>
      </c>
      <c r="I27" s="83">
        <v>0.35000000000000003</v>
      </c>
      <c r="J27" s="61">
        <f t="shared" si="4"/>
        <v>5</v>
      </c>
      <c r="K27" s="62">
        <f t="shared" si="0"/>
        <v>1.1666666666666667</v>
      </c>
      <c r="L27" s="84">
        <v>1.1000000000000001</v>
      </c>
      <c r="M27" s="84">
        <f t="shared" si="1"/>
        <v>1.1000000000000001</v>
      </c>
      <c r="N27" s="84">
        <f t="shared" si="2"/>
        <v>1.4116666666666668</v>
      </c>
      <c r="O27" s="83">
        <f t="shared" si="3"/>
        <v>0.24793388429752064</v>
      </c>
    </row>
    <row r="28" spans="1:15" s="63" customFormat="1" x14ac:dyDescent="0.2">
      <c r="A28" s="85">
        <v>27</v>
      </c>
      <c r="B28" s="85" t="s">
        <v>32</v>
      </c>
      <c r="C28" s="85" t="s">
        <v>33</v>
      </c>
      <c r="D28" s="86">
        <v>1.2368518518518519</v>
      </c>
      <c r="E28" s="86">
        <v>3.7349537037037035E-2</v>
      </c>
      <c r="F28" s="85" t="s">
        <v>83</v>
      </c>
      <c r="G28" s="87">
        <v>7.65</v>
      </c>
      <c r="H28" s="86">
        <v>3.7349537037037035E-2</v>
      </c>
      <c r="I28" s="88">
        <v>0.29305555555555557</v>
      </c>
      <c r="J28" s="64">
        <f t="shared" si="4"/>
        <v>5</v>
      </c>
      <c r="K28" s="65">
        <f t="shared" si="0"/>
        <v>1.1666666666666667</v>
      </c>
      <c r="L28" s="89">
        <v>1.1000000000000001</v>
      </c>
      <c r="M28" s="89">
        <f t="shared" si="1"/>
        <v>1</v>
      </c>
      <c r="N28" s="89">
        <f t="shared" si="2"/>
        <v>1.2833333333333334</v>
      </c>
      <c r="O28" s="88">
        <f t="shared" si="3"/>
        <v>0.22835497835497834</v>
      </c>
    </row>
    <row r="29" spans="1:15" s="66" customFormat="1" x14ac:dyDescent="0.2">
      <c r="A29" s="95">
        <v>28</v>
      </c>
      <c r="B29" s="95" t="s">
        <v>35</v>
      </c>
      <c r="C29" s="95" t="s">
        <v>36</v>
      </c>
      <c r="D29" s="96">
        <v>1.2742013888888888</v>
      </c>
      <c r="E29" s="96">
        <v>3.1956018518518516E-2</v>
      </c>
      <c r="F29" s="95" t="s">
        <v>91</v>
      </c>
      <c r="G29" s="97">
        <v>5.5</v>
      </c>
      <c r="H29" s="96">
        <v>3.1956018518518516E-2</v>
      </c>
      <c r="I29" s="98">
        <v>0.34861111111111115</v>
      </c>
      <c r="J29" s="67">
        <f t="shared" si="4"/>
        <v>5</v>
      </c>
      <c r="K29" s="68">
        <f t="shared" si="0"/>
        <v>1.1666666666666667</v>
      </c>
      <c r="L29" s="99">
        <v>1.1000000000000001</v>
      </c>
      <c r="M29" s="99">
        <f t="shared" si="1"/>
        <v>1</v>
      </c>
      <c r="N29" s="99">
        <f t="shared" si="2"/>
        <v>1.2833333333333334</v>
      </c>
      <c r="O29" s="98">
        <f t="shared" si="3"/>
        <v>0.27164502164502163</v>
      </c>
    </row>
    <row r="30" spans="1:15" x14ac:dyDescent="0.2">
      <c r="A30" s="1">
        <v>29</v>
      </c>
      <c r="B30" s="1" t="s">
        <v>37</v>
      </c>
      <c r="C30" s="1" t="s">
        <v>92</v>
      </c>
      <c r="D30" s="100">
        <v>1.3061574074074074</v>
      </c>
      <c r="E30" s="100">
        <v>3.0381944444444444E-2</v>
      </c>
      <c r="F30" s="1" t="s">
        <v>97</v>
      </c>
      <c r="G30" s="101">
        <v>5.5</v>
      </c>
      <c r="H30" s="100">
        <v>3.0381944444444444E-2</v>
      </c>
      <c r="I30" s="102">
        <v>0.33124999999999999</v>
      </c>
      <c r="J30" s="42">
        <f t="shared" si="4"/>
        <v>5</v>
      </c>
      <c r="K30" s="24">
        <f t="shared" si="0"/>
        <v>1.1666666666666667</v>
      </c>
      <c r="L30" s="103">
        <v>1.1000000000000001</v>
      </c>
      <c r="M30" s="103">
        <f t="shared" si="1"/>
        <v>1</v>
      </c>
      <c r="N30" s="103">
        <f t="shared" si="2"/>
        <v>1.2833333333333334</v>
      </c>
      <c r="O30" s="102">
        <f t="shared" si="3"/>
        <v>0.25811688311688308</v>
      </c>
    </row>
    <row r="31" spans="1:15" s="57" customFormat="1" x14ac:dyDescent="0.2">
      <c r="A31" s="75">
        <v>30</v>
      </c>
      <c r="B31" s="75" t="s">
        <v>28</v>
      </c>
      <c r="C31" s="75" t="s">
        <v>29</v>
      </c>
      <c r="D31" s="76">
        <v>1.3365393518518518</v>
      </c>
      <c r="E31" s="76">
        <v>3.3206018518518517E-2</v>
      </c>
      <c r="F31" s="75" t="s">
        <v>74</v>
      </c>
      <c r="G31" s="77">
        <v>7.65</v>
      </c>
      <c r="H31" s="76">
        <v>3.3206018518518517E-2</v>
      </c>
      <c r="I31" s="78">
        <v>0.26041666666666669</v>
      </c>
      <c r="J31" s="58">
        <f>J26+1</f>
        <v>6</v>
      </c>
      <c r="K31" s="59">
        <f t="shared" si="0"/>
        <v>1.2083333333333333</v>
      </c>
      <c r="L31" s="79">
        <v>1.1000000000000001</v>
      </c>
      <c r="M31" s="79">
        <f t="shared" si="1"/>
        <v>1</v>
      </c>
      <c r="N31" s="79">
        <f t="shared" si="2"/>
        <v>1.3291666666666666</v>
      </c>
      <c r="O31" s="78">
        <f t="shared" si="3"/>
        <v>0.19592476489028215</v>
      </c>
    </row>
  </sheetData>
  <autoFilter ref="A1:I31"/>
  <phoneticPr fontId="1" type="noConversion"/>
  <conditionalFormatting sqref="J3:J29">
    <cfRule type="expression" dxfId="1" priority="1" stopIfTrue="1">
      <formula>$K5&gt;Endzeit</formula>
    </cfRule>
  </conditionalFormatting>
  <conditionalFormatting sqref="J30:J31">
    <cfRule type="expression" dxfId="0" priority="2" stopIfTrue="1">
      <formula>#REF!&gt;Endzeit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J34" sqref="J34"/>
    </sheetView>
  </sheetViews>
  <sheetFormatPr baseColWidth="10" defaultRowHeight="12.75" x14ac:dyDescent="0.2"/>
  <cols>
    <col min="1" max="1" width="3" bestFit="1" customWidth="1"/>
    <col min="2" max="2" width="4.28515625" bestFit="1" customWidth="1"/>
    <col min="3" max="3" width="12.7109375" customWidth="1"/>
    <col min="4" max="4" width="8.140625" bestFit="1" customWidth="1"/>
    <col min="5" max="5" width="8.28515625" bestFit="1" customWidth="1"/>
    <col min="6" max="6" width="5.85546875" bestFit="1" customWidth="1"/>
    <col min="7" max="7" width="8.85546875" bestFit="1" customWidth="1"/>
    <col min="8" max="8" width="10.7109375" bestFit="1" customWidth="1"/>
    <col min="9" max="9" width="4.5703125" style="109" bestFit="1" customWidth="1"/>
    <col min="10" max="10" width="6" style="56" bestFit="1" customWidth="1"/>
    <col min="11" max="11" width="5.140625" bestFit="1" customWidth="1"/>
    <col min="12" max="12" width="6.140625" bestFit="1" customWidth="1"/>
    <col min="13" max="13" width="5.5703125" style="20" bestFit="1" customWidth="1"/>
    <col min="14" max="14" width="8.140625" bestFit="1" customWidth="1"/>
    <col min="15" max="15" width="12.28515625" bestFit="1" customWidth="1"/>
  </cols>
  <sheetData>
    <row r="1" spans="1:21" s="20" customFormat="1" x14ac:dyDescent="0.2">
      <c r="A1" s="72" t="s">
        <v>46</v>
      </c>
      <c r="B1" s="72" t="s">
        <v>65</v>
      </c>
      <c r="C1" s="72" t="s">
        <v>66</v>
      </c>
      <c r="D1" s="72" t="s">
        <v>53</v>
      </c>
      <c r="E1" s="72" t="s">
        <v>54</v>
      </c>
      <c r="F1" s="72" t="s">
        <v>49</v>
      </c>
      <c r="G1" s="73" t="s">
        <v>105</v>
      </c>
      <c r="H1" s="72" t="s">
        <v>131</v>
      </c>
      <c r="I1" s="105" t="s">
        <v>101</v>
      </c>
      <c r="J1" s="26" t="s">
        <v>103</v>
      </c>
      <c r="K1" s="26" t="s">
        <v>108</v>
      </c>
      <c r="L1" s="26" t="s">
        <v>64</v>
      </c>
      <c r="M1" s="26" t="s">
        <v>104</v>
      </c>
      <c r="N1" s="74" t="s">
        <v>115</v>
      </c>
      <c r="O1" s="20" t="s">
        <v>126</v>
      </c>
      <c r="P1" s="20" t="s">
        <v>127</v>
      </c>
    </row>
    <row r="2" spans="1:21" x14ac:dyDescent="0.2">
      <c r="A2">
        <v>1</v>
      </c>
      <c r="B2" t="s">
        <v>28</v>
      </c>
      <c r="C2" t="s">
        <v>29</v>
      </c>
      <c r="D2" s="13">
        <f>1+Startzeit</f>
        <v>2.375</v>
      </c>
      <c r="E2" s="13">
        <v>2.3472222222222217E-2</v>
      </c>
      <c r="F2" t="s">
        <v>122</v>
      </c>
      <c r="G2" t="e">
        <f>VLOOKUP(LEFT(F2,LEN(F2)-1),CoursesBasis!B$3:J$14,12,FALSE)</f>
        <v>#REF!</v>
      </c>
      <c r="H2" s="13" t="e">
        <f t="shared" ref="H2:H31" si="0">E2/G2</f>
        <v>#REF!</v>
      </c>
      <c r="I2" s="109">
        <v>1</v>
      </c>
      <c r="J2" s="56">
        <f t="shared" ref="J2:J31" si="1">VLOOKUP(I2,Erm,2,FALSE)</f>
        <v>1</v>
      </c>
      <c r="K2" s="56">
        <f t="shared" ref="K2:K31" si="2">VLOOKUP(LEFT(F2,2),Schwierigkeit,2,FALSE)</f>
        <v>1</v>
      </c>
      <c r="L2" s="56">
        <f t="shared" ref="L2:L31" si="3">VLOOKUP(1+D2-Startzeit,Zeit,2)</f>
        <v>1</v>
      </c>
      <c r="M2" s="110">
        <f>J2*K2*L2</f>
        <v>1</v>
      </c>
      <c r="N2" s="13" t="e">
        <f>H2/M2</f>
        <v>#REF!</v>
      </c>
      <c r="O2" s="13">
        <f t="shared" ref="O2:O31" si="4">1+D2-Startzeit</f>
        <v>2</v>
      </c>
      <c r="P2" s="13">
        <f t="shared" ref="P2:P31" si="5">O2+E2</f>
        <v>2.0234722222222223</v>
      </c>
    </row>
    <row r="3" spans="1:21" x14ac:dyDescent="0.2">
      <c r="A3">
        <v>2</v>
      </c>
      <c r="B3" t="s">
        <v>30</v>
      </c>
      <c r="C3" t="s">
        <v>31</v>
      </c>
      <c r="D3" s="13">
        <f>D2+E2</f>
        <v>2.3984722222222223</v>
      </c>
      <c r="E3" s="13">
        <v>3.4016203703703708E-2</v>
      </c>
      <c r="F3" t="s">
        <v>71</v>
      </c>
      <c r="G3" t="e">
        <f>VLOOKUP(LEFT(F3,LEN(F3)-1),CoursesBasis!B$3:J$14,12,FALSE)</f>
        <v>#REF!</v>
      </c>
      <c r="H3" s="13" t="e">
        <f t="shared" si="0"/>
        <v>#REF!</v>
      </c>
      <c r="I3" s="109">
        <v>1</v>
      </c>
      <c r="J3" s="56">
        <f t="shared" si="1"/>
        <v>1</v>
      </c>
      <c r="K3" s="56">
        <f t="shared" si="2"/>
        <v>1</v>
      </c>
      <c r="L3" s="56">
        <f t="shared" si="3"/>
        <v>1</v>
      </c>
      <c r="M3" s="110">
        <f t="shared" ref="M3:M31" si="6">J3*K3*L3</f>
        <v>1</v>
      </c>
      <c r="N3" s="13" t="e">
        <f t="shared" ref="N3:N31" si="7">H3/M3</f>
        <v>#REF!</v>
      </c>
      <c r="O3" s="13">
        <f t="shared" si="4"/>
        <v>2.0234722222222223</v>
      </c>
      <c r="P3" s="13">
        <f t="shared" si="5"/>
        <v>2.0574884259259258</v>
      </c>
    </row>
    <row r="4" spans="1:21" x14ac:dyDescent="0.2">
      <c r="A4">
        <v>3</v>
      </c>
      <c r="B4" t="s">
        <v>32</v>
      </c>
      <c r="C4" t="s">
        <v>36</v>
      </c>
      <c r="D4" s="13">
        <f t="shared" ref="D4:D31" si="8">D3+E3</f>
        <v>2.4324884259259258</v>
      </c>
      <c r="E4" s="13">
        <v>2.4652777777777777E-2</v>
      </c>
      <c r="F4" t="s">
        <v>93</v>
      </c>
      <c r="G4" t="e">
        <f>VLOOKUP(LEFT(F4,LEN(F4)-1),CoursesBasis!B$3:J$14,12,FALSE)</f>
        <v>#REF!</v>
      </c>
      <c r="H4" s="13" t="e">
        <f t="shared" si="0"/>
        <v>#REF!</v>
      </c>
      <c r="I4" s="109">
        <v>1</v>
      </c>
      <c r="J4" s="56">
        <f t="shared" si="1"/>
        <v>1</v>
      </c>
      <c r="K4" s="56">
        <f t="shared" si="2"/>
        <v>1</v>
      </c>
      <c r="L4" s="56">
        <f t="shared" si="3"/>
        <v>1</v>
      </c>
      <c r="M4" s="110">
        <f t="shared" si="6"/>
        <v>1</v>
      </c>
      <c r="N4" s="13" t="e">
        <f t="shared" si="7"/>
        <v>#REF!</v>
      </c>
      <c r="O4" s="13">
        <f t="shared" si="4"/>
        <v>2.0574884259259258</v>
      </c>
      <c r="P4" s="13">
        <f t="shared" si="5"/>
        <v>2.0821412037037037</v>
      </c>
    </row>
    <row r="5" spans="1:21" x14ac:dyDescent="0.2">
      <c r="A5">
        <v>4</v>
      </c>
      <c r="B5" t="s">
        <v>34</v>
      </c>
      <c r="C5" t="s">
        <v>123</v>
      </c>
      <c r="D5" s="13">
        <f t="shared" si="8"/>
        <v>2.4571412037037037</v>
      </c>
      <c r="E5" s="13">
        <v>3.5231481481481482E-2</v>
      </c>
      <c r="F5" t="s">
        <v>80</v>
      </c>
      <c r="G5" t="e">
        <f>VLOOKUP(LEFT(F5,LEN(F5)-1),CoursesBasis!B$3:J$14,12,FALSE)</f>
        <v>#REF!</v>
      </c>
      <c r="H5" s="13" t="e">
        <f t="shared" si="0"/>
        <v>#REF!</v>
      </c>
      <c r="I5" s="109">
        <v>1</v>
      </c>
      <c r="J5" s="56">
        <f t="shared" si="1"/>
        <v>1</v>
      </c>
      <c r="K5" s="56">
        <f t="shared" si="2"/>
        <v>1</v>
      </c>
      <c r="L5" s="56">
        <f t="shared" si="3"/>
        <v>1</v>
      </c>
      <c r="M5" s="110">
        <f t="shared" si="6"/>
        <v>1</v>
      </c>
      <c r="N5" s="13" t="e">
        <f t="shared" si="7"/>
        <v>#REF!</v>
      </c>
      <c r="O5" s="13">
        <f t="shared" si="4"/>
        <v>2.0821412037037037</v>
      </c>
      <c r="P5" s="13">
        <f t="shared" si="5"/>
        <v>2.1173726851851851</v>
      </c>
    </row>
    <row r="6" spans="1:21" x14ac:dyDescent="0.2">
      <c r="A6">
        <v>5</v>
      </c>
      <c r="B6" t="s">
        <v>35</v>
      </c>
      <c r="C6" t="s">
        <v>38</v>
      </c>
      <c r="D6" s="13">
        <f t="shared" si="8"/>
        <v>2.4923726851851851</v>
      </c>
      <c r="E6" s="13">
        <v>3.4618055555555555E-2</v>
      </c>
      <c r="F6" t="s">
        <v>84</v>
      </c>
      <c r="G6" t="e">
        <f>VLOOKUP(LEFT(F6,LEN(F6)-1),CoursesBasis!B$3:J$14,12,FALSE)</f>
        <v>#REF!</v>
      </c>
      <c r="H6" s="13" t="e">
        <f t="shared" si="0"/>
        <v>#REF!</v>
      </c>
      <c r="I6" s="109">
        <v>1</v>
      </c>
      <c r="J6" s="56">
        <f t="shared" si="1"/>
        <v>1</v>
      </c>
      <c r="K6" s="56">
        <f t="shared" si="2"/>
        <v>1</v>
      </c>
      <c r="L6" s="56">
        <f t="shared" si="3"/>
        <v>1</v>
      </c>
      <c r="M6" s="110">
        <f t="shared" si="6"/>
        <v>1</v>
      </c>
      <c r="N6" s="13" t="e">
        <f t="shared" si="7"/>
        <v>#REF!</v>
      </c>
      <c r="O6" s="13">
        <f t="shared" si="4"/>
        <v>2.1173726851851851</v>
      </c>
      <c r="P6" s="13">
        <f t="shared" si="5"/>
        <v>2.1519907407407408</v>
      </c>
    </row>
    <row r="7" spans="1:21" s="111" customFormat="1" x14ac:dyDescent="0.2">
      <c r="A7" s="111">
        <v>6</v>
      </c>
      <c r="B7" s="111" t="s">
        <v>37</v>
      </c>
      <c r="C7" s="111" t="s">
        <v>33</v>
      </c>
      <c r="D7" s="112">
        <f t="shared" si="8"/>
        <v>2.5269907407407408</v>
      </c>
      <c r="E7" s="112">
        <v>3.6979166666666667E-2</v>
      </c>
      <c r="F7" s="111" t="s">
        <v>75</v>
      </c>
      <c r="G7" s="111" t="e">
        <f>VLOOKUP(LEFT(F7,LEN(F7)-1),CoursesBasis!B$3:J$14,12,FALSE)</f>
        <v>#REF!</v>
      </c>
      <c r="H7" s="112" t="e">
        <f t="shared" si="0"/>
        <v>#REF!</v>
      </c>
      <c r="I7" s="113">
        <v>1</v>
      </c>
      <c r="J7" s="114">
        <f t="shared" si="1"/>
        <v>1</v>
      </c>
      <c r="K7" s="114">
        <f t="shared" si="2"/>
        <v>1</v>
      </c>
      <c r="L7" s="114">
        <f t="shared" si="3"/>
        <v>1</v>
      </c>
      <c r="M7" s="115">
        <f t="shared" si="6"/>
        <v>1</v>
      </c>
      <c r="N7" s="112" t="e">
        <f t="shared" si="7"/>
        <v>#REF!</v>
      </c>
      <c r="O7" s="112">
        <f t="shared" si="4"/>
        <v>2.1519907407407408</v>
      </c>
      <c r="P7" s="112">
        <f t="shared" si="5"/>
        <v>2.1889699074074076</v>
      </c>
    </row>
    <row r="8" spans="1:21" x14ac:dyDescent="0.2">
      <c r="A8">
        <v>7</v>
      </c>
      <c r="B8" t="s">
        <v>28</v>
      </c>
      <c r="C8" t="s">
        <v>29</v>
      </c>
      <c r="D8" s="13">
        <f t="shared" si="8"/>
        <v>2.5639699074074076</v>
      </c>
      <c r="E8" s="13">
        <v>4.6921296296296294E-2</v>
      </c>
      <c r="F8" t="s">
        <v>124</v>
      </c>
      <c r="G8" t="e">
        <f>VLOOKUP(LEFT(F8,LEN(F8)-1),CoursesBasis!B$3:J$14,12,FALSE)</f>
        <v>#REF!</v>
      </c>
      <c r="H8" s="13" t="e">
        <f t="shared" si="0"/>
        <v>#REF!</v>
      </c>
      <c r="I8" s="109">
        <f>I2+1</f>
        <v>2</v>
      </c>
      <c r="J8" s="56">
        <f t="shared" si="1"/>
        <v>1.0416666666666667</v>
      </c>
      <c r="K8" s="56">
        <f t="shared" si="2"/>
        <v>1.1000000000000001</v>
      </c>
      <c r="L8" s="56">
        <f t="shared" si="3"/>
        <v>1</v>
      </c>
      <c r="M8" s="110">
        <f t="shared" si="6"/>
        <v>1.1458333333333335</v>
      </c>
      <c r="N8" s="13" t="e">
        <f t="shared" si="7"/>
        <v>#REF!</v>
      </c>
      <c r="O8" s="13">
        <f t="shared" si="4"/>
        <v>2.1889699074074076</v>
      </c>
      <c r="P8" s="13">
        <f t="shared" si="5"/>
        <v>2.2358912037037038</v>
      </c>
    </row>
    <row r="9" spans="1:21" x14ac:dyDescent="0.2">
      <c r="A9">
        <v>8</v>
      </c>
      <c r="B9" t="s">
        <v>30</v>
      </c>
      <c r="C9" t="s">
        <v>31</v>
      </c>
      <c r="D9" s="13">
        <f t="shared" si="8"/>
        <v>2.6108912037037038</v>
      </c>
      <c r="E9" s="13">
        <v>2.7523148148148147E-2</v>
      </c>
      <c r="F9" t="s">
        <v>125</v>
      </c>
      <c r="G9" t="e">
        <f>VLOOKUP(LEFT(F9,LEN(F9)-1),CoursesBasis!B$3:J$14,12,FALSE)</f>
        <v>#REF!</v>
      </c>
      <c r="H9" s="13" t="e">
        <f t="shared" si="0"/>
        <v>#REF!</v>
      </c>
      <c r="I9" s="109">
        <f t="shared" ref="I9:I31" si="9">I3+1</f>
        <v>2</v>
      </c>
      <c r="J9" s="56">
        <f t="shared" si="1"/>
        <v>1.0416666666666667</v>
      </c>
      <c r="K9" s="56">
        <f t="shared" si="2"/>
        <v>1.1000000000000001</v>
      </c>
      <c r="L9" s="56">
        <f t="shared" si="3"/>
        <v>1</v>
      </c>
      <c r="M9" s="110">
        <f t="shared" si="6"/>
        <v>1.1458333333333335</v>
      </c>
      <c r="N9" s="13" t="e">
        <f t="shared" si="7"/>
        <v>#REF!</v>
      </c>
      <c r="O9" s="13">
        <f t="shared" si="4"/>
        <v>2.2358912037037038</v>
      </c>
      <c r="P9" s="13">
        <f t="shared" si="5"/>
        <v>2.2634143518518517</v>
      </c>
    </row>
    <row r="10" spans="1:21" x14ac:dyDescent="0.2">
      <c r="A10">
        <v>9</v>
      </c>
      <c r="B10" t="s">
        <v>32</v>
      </c>
      <c r="C10" t="s">
        <v>36</v>
      </c>
      <c r="D10" s="13">
        <f t="shared" si="8"/>
        <v>2.6384143518518517</v>
      </c>
      <c r="E10" s="13">
        <v>2.6284722222222223E-2</v>
      </c>
      <c r="F10" t="s">
        <v>85</v>
      </c>
      <c r="G10" t="e">
        <f>VLOOKUP(LEFT(F10,LEN(F10)-1),CoursesBasis!B$3:J$14,12,FALSE)</f>
        <v>#REF!</v>
      </c>
      <c r="H10" s="13" t="e">
        <f t="shared" si="0"/>
        <v>#REF!</v>
      </c>
      <c r="I10" s="109">
        <f t="shared" si="9"/>
        <v>2</v>
      </c>
      <c r="J10" s="56">
        <f t="shared" si="1"/>
        <v>1.0416666666666667</v>
      </c>
      <c r="K10" s="56">
        <f t="shared" si="2"/>
        <v>1</v>
      </c>
      <c r="L10" s="56">
        <f t="shared" si="3"/>
        <v>1</v>
      </c>
      <c r="M10" s="110">
        <f t="shared" si="6"/>
        <v>1.0416666666666667</v>
      </c>
      <c r="N10" s="13" t="e">
        <f t="shared" si="7"/>
        <v>#REF!</v>
      </c>
      <c r="O10" s="13">
        <f t="shared" si="4"/>
        <v>2.2634143518518517</v>
      </c>
      <c r="P10" s="13">
        <f t="shared" si="5"/>
        <v>2.2896990740740737</v>
      </c>
    </row>
    <row r="11" spans="1:21" x14ac:dyDescent="0.2">
      <c r="A11">
        <v>10</v>
      </c>
      <c r="B11" t="s">
        <v>34</v>
      </c>
      <c r="C11" t="s">
        <v>123</v>
      </c>
      <c r="D11" s="13">
        <f t="shared" si="8"/>
        <v>2.6646990740740737</v>
      </c>
      <c r="E11" s="13">
        <v>3.0868055555555555E-2</v>
      </c>
      <c r="F11" t="s">
        <v>94</v>
      </c>
      <c r="G11" t="e">
        <f>VLOOKUP(LEFT(F11,LEN(F11)-1),CoursesBasis!B$3:J$14,12,FALSE)</f>
        <v>#REF!</v>
      </c>
      <c r="H11" s="13" t="e">
        <f t="shared" si="0"/>
        <v>#REF!</v>
      </c>
      <c r="I11" s="109">
        <f t="shared" si="9"/>
        <v>2</v>
      </c>
      <c r="J11" s="56">
        <f t="shared" si="1"/>
        <v>1.0416666666666667</v>
      </c>
      <c r="K11" s="56">
        <f t="shared" si="2"/>
        <v>1.1000000000000001</v>
      </c>
      <c r="L11" s="56">
        <f t="shared" si="3"/>
        <v>1</v>
      </c>
      <c r="M11" s="110">
        <f t="shared" si="6"/>
        <v>1.1458333333333335</v>
      </c>
      <c r="N11" s="13" t="e">
        <f t="shared" si="7"/>
        <v>#REF!</v>
      </c>
      <c r="O11" s="13">
        <f t="shared" si="4"/>
        <v>2.2896990740740737</v>
      </c>
      <c r="P11" s="13">
        <f t="shared" si="5"/>
        <v>2.3205671296296293</v>
      </c>
    </row>
    <row r="12" spans="1:21" x14ac:dyDescent="0.2">
      <c r="A12">
        <v>11</v>
      </c>
      <c r="B12" t="s">
        <v>35</v>
      </c>
      <c r="C12" t="s">
        <v>38</v>
      </c>
      <c r="D12" s="13">
        <f t="shared" si="8"/>
        <v>2.6955671296296293</v>
      </c>
      <c r="E12" s="13">
        <v>3.142361111111111E-2</v>
      </c>
      <c r="F12" t="s">
        <v>88</v>
      </c>
      <c r="G12" t="e">
        <f>VLOOKUP(LEFT(F12,LEN(F12)-1),CoursesBasis!B$3:J$14,12,FALSE)</f>
        <v>#REF!</v>
      </c>
      <c r="H12" s="13" t="e">
        <f t="shared" si="0"/>
        <v>#REF!</v>
      </c>
      <c r="I12" s="109">
        <f t="shared" si="9"/>
        <v>2</v>
      </c>
      <c r="J12" s="56">
        <f t="shared" si="1"/>
        <v>1.0416666666666667</v>
      </c>
      <c r="K12" s="56">
        <f t="shared" si="2"/>
        <v>1</v>
      </c>
      <c r="L12" s="56">
        <f t="shared" si="3"/>
        <v>1</v>
      </c>
      <c r="M12" s="110">
        <f t="shared" si="6"/>
        <v>1.0416666666666667</v>
      </c>
      <c r="N12" s="13" t="e">
        <f t="shared" si="7"/>
        <v>#REF!</v>
      </c>
      <c r="O12" s="13">
        <f t="shared" si="4"/>
        <v>2.3205671296296293</v>
      </c>
      <c r="P12" s="13">
        <f t="shared" si="5"/>
        <v>2.3519907407407405</v>
      </c>
    </row>
    <row r="13" spans="1:21" s="111" customFormat="1" x14ac:dyDescent="0.2">
      <c r="A13" s="111">
        <v>12</v>
      </c>
      <c r="B13" s="111" t="s">
        <v>37</v>
      </c>
      <c r="C13" s="111" t="s">
        <v>33</v>
      </c>
      <c r="D13" s="112">
        <f t="shared" si="8"/>
        <v>2.7269907407407405</v>
      </c>
      <c r="E13" s="112">
        <v>2.8310185185185185E-2</v>
      </c>
      <c r="F13" s="111" t="s">
        <v>87</v>
      </c>
      <c r="G13" s="111" t="e">
        <f>VLOOKUP(LEFT(F13,LEN(F13)-1),CoursesBasis!B$3:J$14,12,FALSE)</f>
        <v>#REF!</v>
      </c>
      <c r="H13" s="112" t="e">
        <f t="shared" si="0"/>
        <v>#REF!</v>
      </c>
      <c r="I13" s="113">
        <f t="shared" si="9"/>
        <v>2</v>
      </c>
      <c r="J13" s="114">
        <f t="shared" si="1"/>
        <v>1.0416666666666667</v>
      </c>
      <c r="K13" s="114">
        <f t="shared" si="2"/>
        <v>1.1000000000000001</v>
      </c>
      <c r="L13" s="114">
        <f t="shared" si="3"/>
        <v>1</v>
      </c>
      <c r="M13" s="115">
        <f t="shared" si="6"/>
        <v>1.1458333333333335</v>
      </c>
      <c r="N13" s="112" t="e">
        <f t="shared" si="7"/>
        <v>#REF!</v>
      </c>
      <c r="O13" s="112">
        <f t="shared" si="4"/>
        <v>2.3519907407407405</v>
      </c>
      <c r="P13" s="112">
        <f t="shared" si="5"/>
        <v>2.3803009259259258</v>
      </c>
    </row>
    <row r="14" spans="1:21" x14ac:dyDescent="0.2">
      <c r="A14">
        <v>13</v>
      </c>
      <c r="B14" t="s">
        <v>28</v>
      </c>
      <c r="C14" t="s">
        <v>29</v>
      </c>
      <c r="D14" s="13">
        <f t="shared" si="8"/>
        <v>2.7553009259259258</v>
      </c>
      <c r="E14" s="13">
        <v>3.0254629629629631E-2</v>
      </c>
      <c r="F14" t="s">
        <v>81</v>
      </c>
      <c r="G14" t="e">
        <f>VLOOKUP(LEFT(F14,LEN(F14)-1),CoursesBasis!B$3:J$14,12,FALSE)</f>
        <v>#REF!</v>
      </c>
      <c r="H14" s="13" t="e">
        <f t="shared" si="0"/>
        <v>#REF!</v>
      </c>
      <c r="I14" s="109">
        <f t="shared" si="9"/>
        <v>3</v>
      </c>
      <c r="J14" s="56">
        <f t="shared" si="1"/>
        <v>1.0833333333333333</v>
      </c>
      <c r="K14" s="56">
        <f t="shared" si="2"/>
        <v>1</v>
      </c>
      <c r="L14" s="56">
        <f t="shared" si="3"/>
        <v>1</v>
      </c>
      <c r="M14" s="110">
        <f t="shared" si="6"/>
        <v>1.0833333333333333</v>
      </c>
      <c r="N14" s="13" t="e">
        <f t="shared" si="7"/>
        <v>#REF!</v>
      </c>
      <c r="O14" s="13">
        <f t="shared" si="4"/>
        <v>2.3803009259259258</v>
      </c>
      <c r="P14" s="13">
        <f t="shared" si="5"/>
        <v>2.4105555555555553</v>
      </c>
    </row>
    <row r="15" spans="1:21" x14ac:dyDescent="0.2">
      <c r="A15">
        <v>14</v>
      </c>
      <c r="B15" t="s">
        <v>30</v>
      </c>
      <c r="C15" t="s">
        <v>31</v>
      </c>
      <c r="D15" s="13">
        <f t="shared" si="8"/>
        <v>2.7855555555555553</v>
      </c>
      <c r="E15" s="13">
        <v>2.9189814814814811E-2</v>
      </c>
      <c r="F15" t="s">
        <v>77</v>
      </c>
      <c r="G15" t="e">
        <f>VLOOKUP(LEFT(F15,LEN(F15)-1),CoursesBasis!B$3:J$14,12,FALSE)</f>
        <v>#REF!</v>
      </c>
      <c r="H15" s="13" t="e">
        <f t="shared" si="0"/>
        <v>#REF!</v>
      </c>
      <c r="I15" s="109">
        <f t="shared" si="9"/>
        <v>3</v>
      </c>
      <c r="J15" s="56">
        <f t="shared" si="1"/>
        <v>1.0833333333333333</v>
      </c>
      <c r="K15" s="56">
        <f t="shared" si="2"/>
        <v>1.1000000000000001</v>
      </c>
      <c r="L15" s="56">
        <f t="shared" si="3"/>
        <v>1</v>
      </c>
      <c r="M15" s="110">
        <f t="shared" si="6"/>
        <v>1.1916666666666667</v>
      </c>
      <c r="N15" s="13" t="e">
        <f t="shared" si="7"/>
        <v>#REF!</v>
      </c>
      <c r="O15" s="13">
        <f t="shared" si="4"/>
        <v>2.4105555555555553</v>
      </c>
      <c r="P15" s="13">
        <f t="shared" si="5"/>
        <v>2.4397453703703702</v>
      </c>
    </row>
    <row r="16" spans="1:21" x14ac:dyDescent="0.2">
      <c r="A16">
        <v>15</v>
      </c>
      <c r="B16" t="s">
        <v>32</v>
      </c>
      <c r="C16" t="s">
        <v>36</v>
      </c>
      <c r="D16" s="13">
        <v>0.83333333333333337</v>
      </c>
      <c r="E16" s="13">
        <v>1.6898148148148148E-2</v>
      </c>
      <c r="F16" s="108" t="s">
        <v>128</v>
      </c>
      <c r="G16" t="e">
        <f>VLOOKUP(LEFT(F16,LEN(F16)-1),CoursesBasis!B$3:J$14,12,FALSE)</f>
        <v>#REF!</v>
      </c>
      <c r="H16" s="13" t="e">
        <f t="shared" si="0"/>
        <v>#REF!</v>
      </c>
      <c r="I16" s="109">
        <f t="shared" si="9"/>
        <v>3</v>
      </c>
      <c r="J16" s="56">
        <f t="shared" si="1"/>
        <v>1.0833333333333333</v>
      </c>
      <c r="K16" s="56">
        <f t="shared" si="2"/>
        <v>1</v>
      </c>
      <c r="L16" s="56">
        <f t="shared" si="3"/>
        <v>1.1000000000000001</v>
      </c>
      <c r="M16" s="110">
        <f t="shared" si="6"/>
        <v>1.1916666666666667</v>
      </c>
      <c r="N16" s="13" t="e">
        <f t="shared" si="7"/>
        <v>#REF!</v>
      </c>
      <c r="O16" s="13">
        <f t="shared" si="4"/>
        <v>0.45833333333333348</v>
      </c>
      <c r="P16" s="13">
        <f t="shared" si="5"/>
        <v>0.47523148148148164</v>
      </c>
      <c r="Q16" s="13"/>
      <c r="R16" s="13">
        <v>0.83333333333333337</v>
      </c>
      <c r="S16" s="13">
        <v>0.81474537037037031</v>
      </c>
      <c r="T16" s="13">
        <f>R16-S16</f>
        <v>1.8587962962963056E-2</v>
      </c>
      <c r="U16" s="13">
        <f>E16-T16</f>
        <v>-1.6898148148149078E-3</v>
      </c>
    </row>
    <row r="17" spans="1:16" x14ac:dyDescent="0.2">
      <c r="A17">
        <v>16</v>
      </c>
      <c r="B17" t="s">
        <v>34</v>
      </c>
      <c r="C17" t="s">
        <v>123</v>
      </c>
      <c r="D17" s="13">
        <v>2.8502314814814813</v>
      </c>
      <c r="E17" s="13">
        <v>2.5520833333333336E-2</v>
      </c>
      <c r="F17" s="108" t="s">
        <v>129</v>
      </c>
      <c r="G17" t="e">
        <f>VLOOKUP(LEFT(F17,LEN(F17)-1),CoursesBasis!B$3:J$14,12,FALSE)</f>
        <v>#REF!</v>
      </c>
      <c r="H17" s="13" t="e">
        <f t="shared" si="0"/>
        <v>#REF!</v>
      </c>
      <c r="I17" s="109">
        <f t="shared" si="9"/>
        <v>3</v>
      </c>
      <c r="J17" s="56">
        <f t="shared" si="1"/>
        <v>1.0833333333333333</v>
      </c>
      <c r="K17" s="56">
        <f t="shared" si="2"/>
        <v>1</v>
      </c>
      <c r="L17" s="56">
        <f t="shared" si="3"/>
        <v>1</v>
      </c>
      <c r="M17" s="110">
        <f t="shared" si="6"/>
        <v>1.0833333333333333</v>
      </c>
      <c r="N17" s="13" t="e">
        <f t="shared" si="7"/>
        <v>#REF!</v>
      </c>
      <c r="O17" s="13">
        <f t="shared" si="4"/>
        <v>2.4752314814814813</v>
      </c>
      <c r="P17" s="13">
        <f t="shared" si="5"/>
        <v>2.5007523148148145</v>
      </c>
    </row>
    <row r="18" spans="1:16" x14ac:dyDescent="0.2">
      <c r="A18">
        <v>17</v>
      </c>
      <c r="B18" t="s">
        <v>35</v>
      </c>
      <c r="C18" t="s">
        <v>38</v>
      </c>
      <c r="D18" s="13">
        <f t="shared" si="8"/>
        <v>2.8757523148148145</v>
      </c>
      <c r="E18" s="13">
        <v>1.8564814814814815E-2</v>
      </c>
      <c r="F18" t="s">
        <v>89</v>
      </c>
      <c r="G18" t="e">
        <f>VLOOKUP(LEFT(F18,LEN(F18)-1),CoursesBasis!B$3:J$14,12,FALSE)</f>
        <v>#REF!</v>
      </c>
      <c r="H18" s="13" t="e">
        <f t="shared" si="0"/>
        <v>#REF!</v>
      </c>
      <c r="I18" s="109">
        <f t="shared" si="9"/>
        <v>3</v>
      </c>
      <c r="J18" s="56">
        <f t="shared" si="1"/>
        <v>1.0833333333333333</v>
      </c>
      <c r="K18" s="56">
        <f t="shared" si="2"/>
        <v>1</v>
      </c>
      <c r="L18" s="56">
        <f t="shared" si="3"/>
        <v>1</v>
      </c>
      <c r="M18" s="110">
        <f t="shared" si="6"/>
        <v>1.0833333333333333</v>
      </c>
      <c r="N18" s="13" t="e">
        <f t="shared" si="7"/>
        <v>#REF!</v>
      </c>
      <c r="O18" s="13">
        <f t="shared" si="4"/>
        <v>2.5007523148148145</v>
      </c>
      <c r="P18" s="13">
        <f t="shared" si="5"/>
        <v>2.5193171296296293</v>
      </c>
    </row>
    <row r="19" spans="1:16" s="111" customFormat="1" x14ac:dyDescent="0.2">
      <c r="A19" s="111">
        <v>18</v>
      </c>
      <c r="B19" s="111" t="s">
        <v>37</v>
      </c>
      <c r="C19" s="111" t="s">
        <v>33</v>
      </c>
      <c r="D19" s="112">
        <f t="shared" si="8"/>
        <v>2.8943171296296293</v>
      </c>
      <c r="E19" s="112">
        <v>3.7303240740740741E-2</v>
      </c>
      <c r="F19" s="111" t="s">
        <v>82</v>
      </c>
      <c r="G19" s="111" t="e">
        <f>VLOOKUP(LEFT(F19,LEN(F19)-1),CoursesBasis!B$3:J$14,12,FALSE)</f>
        <v>#REF!</v>
      </c>
      <c r="H19" s="112" t="e">
        <f t="shared" si="0"/>
        <v>#REF!</v>
      </c>
      <c r="I19" s="113">
        <f t="shared" si="9"/>
        <v>3</v>
      </c>
      <c r="J19" s="114">
        <f t="shared" si="1"/>
        <v>1.0833333333333333</v>
      </c>
      <c r="K19" s="114">
        <f t="shared" si="2"/>
        <v>1</v>
      </c>
      <c r="L19" s="114">
        <f t="shared" si="3"/>
        <v>1</v>
      </c>
      <c r="M19" s="115">
        <f t="shared" si="6"/>
        <v>1.0833333333333333</v>
      </c>
      <c r="N19" s="112" t="e">
        <f t="shared" si="7"/>
        <v>#REF!</v>
      </c>
      <c r="O19" s="112">
        <f t="shared" si="4"/>
        <v>2.5193171296296293</v>
      </c>
      <c r="P19" s="112">
        <f t="shared" si="5"/>
        <v>2.55662037037037</v>
      </c>
    </row>
    <row r="20" spans="1:16" x14ac:dyDescent="0.2">
      <c r="A20">
        <v>19</v>
      </c>
      <c r="B20" t="s">
        <v>28</v>
      </c>
      <c r="C20" t="s">
        <v>29</v>
      </c>
      <c r="D20" s="13">
        <f t="shared" si="8"/>
        <v>2.93162037037037</v>
      </c>
      <c r="E20" s="13">
        <v>3.6736111111111108E-2</v>
      </c>
      <c r="F20" t="s">
        <v>83</v>
      </c>
      <c r="G20" t="e">
        <f>VLOOKUP(LEFT(F20,LEN(F20)-1),CoursesBasis!B$3:J$14,12,FALSE)</f>
        <v>#REF!</v>
      </c>
      <c r="H20" s="13" t="e">
        <f t="shared" si="0"/>
        <v>#REF!</v>
      </c>
      <c r="I20" s="109">
        <f t="shared" si="9"/>
        <v>4</v>
      </c>
      <c r="J20" s="56">
        <f t="shared" si="1"/>
        <v>1.125</v>
      </c>
      <c r="K20" s="56">
        <f t="shared" si="2"/>
        <v>1.1000000000000001</v>
      </c>
      <c r="L20" s="56">
        <f t="shared" si="3"/>
        <v>1</v>
      </c>
      <c r="M20" s="110">
        <f t="shared" si="6"/>
        <v>1.2375</v>
      </c>
      <c r="N20" s="13" t="e">
        <f t="shared" si="7"/>
        <v>#REF!</v>
      </c>
      <c r="O20" s="13">
        <f t="shared" si="4"/>
        <v>2.55662037037037</v>
      </c>
      <c r="P20" s="13">
        <f t="shared" si="5"/>
        <v>2.5933564814814813</v>
      </c>
    </row>
    <row r="21" spans="1:16" x14ac:dyDescent="0.2">
      <c r="A21">
        <v>20</v>
      </c>
      <c r="B21" t="s">
        <v>30</v>
      </c>
      <c r="C21" t="s">
        <v>31</v>
      </c>
      <c r="D21" s="13">
        <f t="shared" si="8"/>
        <v>2.9683564814814813</v>
      </c>
      <c r="E21" s="13">
        <v>4.5868055555555558E-2</v>
      </c>
      <c r="F21" t="s">
        <v>79</v>
      </c>
      <c r="G21" t="e">
        <f>VLOOKUP(LEFT(F21,LEN(F21)-1),CoursesBasis!B$3:J$14,12,FALSE)</f>
        <v>#REF!</v>
      </c>
      <c r="H21" s="13" t="e">
        <f t="shared" si="0"/>
        <v>#REF!</v>
      </c>
      <c r="I21" s="109">
        <f t="shared" si="9"/>
        <v>4</v>
      </c>
      <c r="J21" s="56">
        <f t="shared" si="1"/>
        <v>1.125</v>
      </c>
      <c r="K21" s="56">
        <f t="shared" si="2"/>
        <v>1.1000000000000001</v>
      </c>
      <c r="L21" s="56">
        <f t="shared" si="3"/>
        <v>1</v>
      </c>
      <c r="M21" s="110">
        <f t="shared" si="6"/>
        <v>1.2375</v>
      </c>
      <c r="N21" s="13" t="e">
        <f t="shared" si="7"/>
        <v>#REF!</v>
      </c>
      <c r="O21" s="13">
        <f t="shared" si="4"/>
        <v>2.5933564814814813</v>
      </c>
      <c r="P21" s="13">
        <f t="shared" si="5"/>
        <v>2.6392245370370371</v>
      </c>
    </row>
    <row r="22" spans="1:16" x14ac:dyDescent="0.2">
      <c r="A22">
        <v>21</v>
      </c>
      <c r="B22" t="s">
        <v>32</v>
      </c>
      <c r="C22" t="s">
        <v>36</v>
      </c>
      <c r="D22" s="13">
        <f t="shared" si="8"/>
        <v>3.0142245370370371</v>
      </c>
      <c r="E22" s="13">
        <v>2.1724537037037039E-2</v>
      </c>
      <c r="F22" t="s">
        <v>86</v>
      </c>
      <c r="G22" t="e">
        <f>VLOOKUP(LEFT(F22,LEN(F22)-1),CoursesBasis!B$3:J$14,12,FALSE)</f>
        <v>#REF!</v>
      </c>
      <c r="H22" s="13" t="e">
        <f t="shared" si="0"/>
        <v>#REF!</v>
      </c>
      <c r="I22" s="109">
        <f t="shared" si="9"/>
        <v>4</v>
      </c>
      <c r="J22" s="56">
        <f t="shared" si="1"/>
        <v>1.125</v>
      </c>
      <c r="K22" s="56">
        <f t="shared" si="2"/>
        <v>1</v>
      </c>
      <c r="L22" s="56">
        <f t="shared" si="3"/>
        <v>1</v>
      </c>
      <c r="M22" s="110">
        <f t="shared" si="6"/>
        <v>1.125</v>
      </c>
      <c r="N22" s="13" t="e">
        <f t="shared" si="7"/>
        <v>#REF!</v>
      </c>
      <c r="O22" s="13">
        <f t="shared" si="4"/>
        <v>2.6392245370370375</v>
      </c>
      <c r="P22" s="13">
        <f t="shared" si="5"/>
        <v>2.6609490740740744</v>
      </c>
    </row>
    <row r="23" spans="1:16" x14ac:dyDescent="0.2">
      <c r="A23">
        <v>22</v>
      </c>
      <c r="B23" t="s">
        <v>34</v>
      </c>
      <c r="C23" t="s">
        <v>123</v>
      </c>
      <c r="D23" s="13">
        <f t="shared" si="8"/>
        <v>3.035949074074074</v>
      </c>
      <c r="E23" s="13">
        <v>2.4305555555555556E-2</v>
      </c>
      <c r="F23" t="s">
        <v>90</v>
      </c>
      <c r="G23" t="e">
        <f>VLOOKUP(LEFT(F23,LEN(F23)-1),CoursesBasis!B$3:J$14,12,FALSE)</f>
        <v>#REF!</v>
      </c>
      <c r="H23" s="13" t="e">
        <f t="shared" si="0"/>
        <v>#REF!</v>
      </c>
      <c r="I23" s="109">
        <f t="shared" si="9"/>
        <v>4</v>
      </c>
      <c r="J23" s="56">
        <f t="shared" si="1"/>
        <v>1.125</v>
      </c>
      <c r="K23" s="56">
        <f t="shared" si="2"/>
        <v>1</v>
      </c>
      <c r="L23" s="56">
        <f t="shared" si="3"/>
        <v>1</v>
      </c>
      <c r="M23" s="110">
        <f t="shared" si="6"/>
        <v>1.125</v>
      </c>
      <c r="N23" s="13" t="e">
        <f t="shared" si="7"/>
        <v>#REF!</v>
      </c>
      <c r="O23" s="13">
        <f t="shared" si="4"/>
        <v>2.6609490740740736</v>
      </c>
      <c r="P23" s="13">
        <f t="shared" si="5"/>
        <v>2.6852546296296289</v>
      </c>
    </row>
    <row r="24" spans="1:16" x14ac:dyDescent="0.2">
      <c r="A24">
        <v>23</v>
      </c>
      <c r="B24" t="s">
        <v>35</v>
      </c>
      <c r="C24" t="s">
        <v>38</v>
      </c>
      <c r="D24" s="13">
        <f t="shared" si="8"/>
        <v>3.0602546296296294</v>
      </c>
      <c r="E24" s="13">
        <v>2.6099537037037036E-2</v>
      </c>
      <c r="F24" t="s">
        <v>96</v>
      </c>
      <c r="G24" t="e">
        <f>VLOOKUP(LEFT(F24,LEN(F24)-1),CoursesBasis!B$3:J$14,12,FALSE)</f>
        <v>#REF!</v>
      </c>
      <c r="H24" s="13" t="e">
        <f t="shared" si="0"/>
        <v>#REF!</v>
      </c>
      <c r="I24" s="109">
        <f t="shared" si="9"/>
        <v>4</v>
      </c>
      <c r="J24" s="56">
        <f t="shared" si="1"/>
        <v>1.125</v>
      </c>
      <c r="K24" s="56">
        <f t="shared" si="2"/>
        <v>1</v>
      </c>
      <c r="L24" s="56">
        <f t="shared" si="3"/>
        <v>1</v>
      </c>
      <c r="M24" s="110">
        <f t="shared" si="6"/>
        <v>1.125</v>
      </c>
      <c r="N24" s="13" t="e">
        <f t="shared" si="7"/>
        <v>#REF!</v>
      </c>
      <c r="O24" s="13">
        <f t="shared" si="4"/>
        <v>2.6852546296296289</v>
      </c>
      <c r="P24" s="13">
        <f t="shared" si="5"/>
        <v>2.7113541666666658</v>
      </c>
    </row>
    <row r="25" spans="1:16" s="111" customFormat="1" x14ac:dyDescent="0.2">
      <c r="A25" s="111">
        <v>24</v>
      </c>
      <c r="B25" s="111" t="s">
        <v>37</v>
      </c>
      <c r="C25" s="111" t="s">
        <v>33</v>
      </c>
      <c r="D25" s="112">
        <f t="shared" si="8"/>
        <v>3.0863541666666663</v>
      </c>
      <c r="E25" s="112">
        <v>1.9537037037037037E-2</v>
      </c>
      <c r="F25" s="111" t="s">
        <v>95</v>
      </c>
      <c r="G25" s="111" t="e">
        <f>VLOOKUP(LEFT(F25,LEN(F25)-1),CoursesBasis!B$3:J$14,12,FALSE)</f>
        <v>#REF!</v>
      </c>
      <c r="H25" s="112" t="e">
        <f t="shared" si="0"/>
        <v>#REF!</v>
      </c>
      <c r="I25" s="113">
        <f t="shared" si="9"/>
        <v>4</v>
      </c>
      <c r="J25" s="114">
        <f t="shared" si="1"/>
        <v>1.125</v>
      </c>
      <c r="K25" s="114">
        <f t="shared" si="2"/>
        <v>1</v>
      </c>
      <c r="L25" s="114">
        <f t="shared" si="3"/>
        <v>1</v>
      </c>
      <c r="M25" s="115">
        <f t="shared" si="6"/>
        <v>1.125</v>
      </c>
      <c r="N25" s="112" t="e">
        <f t="shared" si="7"/>
        <v>#REF!</v>
      </c>
      <c r="O25" s="112">
        <f t="shared" si="4"/>
        <v>2.7113541666666663</v>
      </c>
      <c r="P25" s="112">
        <f t="shared" si="5"/>
        <v>2.7308912037037034</v>
      </c>
    </row>
    <row r="26" spans="1:16" x14ac:dyDescent="0.2">
      <c r="A26">
        <v>25</v>
      </c>
      <c r="B26" t="s">
        <v>28</v>
      </c>
      <c r="C26" t="s">
        <v>29</v>
      </c>
      <c r="D26" s="13">
        <f t="shared" si="8"/>
        <v>3.1058912037037034</v>
      </c>
      <c r="E26" s="13">
        <v>3.8321759259259257E-2</v>
      </c>
      <c r="F26" t="s">
        <v>78</v>
      </c>
      <c r="G26" t="e">
        <f>VLOOKUP(LEFT(F26,LEN(F26)-1),CoursesBasis!B$3:J$14,12,FALSE)</f>
        <v>#REF!</v>
      </c>
      <c r="H26" s="13" t="e">
        <f t="shared" si="0"/>
        <v>#REF!</v>
      </c>
      <c r="I26" s="109">
        <f t="shared" si="9"/>
        <v>5</v>
      </c>
      <c r="J26" s="56">
        <f t="shared" si="1"/>
        <v>1.1666666666666667</v>
      </c>
      <c r="K26" s="56">
        <f t="shared" si="2"/>
        <v>1</v>
      </c>
      <c r="L26" s="56">
        <f t="shared" si="3"/>
        <v>1</v>
      </c>
      <c r="M26" s="110">
        <f t="shared" si="6"/>
        <v>1.1666666666666667</v>
      </c>
      <c r="N26" s="13" t="e">
        <f t="shared" si="7"/>
        <v>#REF!</v>
      </c>
      <c r="O26" s="13">
        <f t="shared" si="4"/>
        <v>2.7308912037037034</v>
      </c>
      <c r="P26" s="13">
        <f t="shared" si="5"/>
        <v>2.7692129629629627</v>
      </c>
    </row>
    <row r="27" spans="1:16" x14ac:dyDescent="0.2">
      <c r="A27">
        <v>26</v>
      </c>
      <c r="B27" t="s">
        <v>30</v>
      </c>
      <c r="C27" t="s">
        <v>31</v>
      </c>
      <c r="D27" s="13">
        <f t="shared" si="8"/>
        <v>3.1442129629629627</v>
      </c>
      <c r="E27" s="13">
        <v>4.372685185185185E-2</v>
      </c>
      <c r="F27" t="s">
        <v>72</v>
      </c>
      <c r="G27" t="e">
        <f>VLOOKUP(LEFT(F27,LEN(F27)-1),CoursesBasis!B$3:J$14,12,FALSE)</f>
        <v>#REF!</v>
      </c>
      <c r="H27" s="13" t="e">
        <f t="shared" si="0"/>
        <v>#REF!</v>
      </c>
      <c r="I27" s="109">
        <f t="shared" si="9"/>
        <v>5</v>
      </c>
      <c r="J27" s="56">
        <f t="shared" si="1"/>
        <v>1.1666666666666667</v>
      </c>
      <c r="K27" s="56">
        <f t="shared" si="2"/>
        <v>1</v>
      </c>
      <c r="L27" s="56">
        <f t="shared" si="3"/>
        <v>1</v>
      </c>
      <c r="M27" s="110">
        <f t="shared" si="6"/>
        <v>1.1666666666666667</v>
      </c>
      <c r="N27" s="13" t="e">
        <f t="shared" si="7"/>
        <v>#REF!</v>
      </c>
      <c r="O27" s="13">
        <f t="shared" si="4"/>
        <v>2.7692129629629623</v>
      </c>
      <c r="P27" s="13">
        <f t="shared" si="5"/>
        <v>2.8129398148148139</v>
      </c>
    </row>
    <row r="28" spans="1:16" x14ac:dyDescent="0.2">
      <c r="A28">
        <v>27</v>
      </c>
      <c r="B28" t="s">
        <v>32</v>
      </c>
      <c r="C28" t="s">
        <v>36</v>
      </c>
      <c r="D28" s="13">
        <f t="shared" si="8"/>
        <v>3.1879398148148144</v>
      </c>
      <c r="E28" s="13">
        <v>3.3113425925925928E-2</v>
      </c>
      <c r="F28" t="s">
        <v>97</v>
      </c>
      <c r="G28" t="e">
        <f>VLOOKUP(LEFT(F28,LEN(F28)-1),CoursesBasis!B$3:J$14,12,FALSE)</f>
        <v>#REF!</v>
      </c>
      <c r="H28" s="13" t="e">
        <f t="shared" si="0"/>
        <v>#REF!</v>
      </c>
      <c r="I28" s="109">
        <f t="shared" si="9"/>
        <v>5</v>
      </c>
      <c r="J28" s="56">
        <f t="shared" si="1"/>
        <v>1.1666666666666667</v>
      </c>
      <c r="K28" s="56">
        <f t="shared" si="2"/>
        <v>1.1000000000000001</v>
      </c>
      <c r="L28" s="56">
        <f t="shared" si="3"/>
        <v>1</v>
      </c>
      <c r="M28" s="110">
        <f t="shared" si="6"/>
        <v>1.2833333333333334</v>
      </c>
      <c r="N28" s="13" t="e">
        <f t="shared" si="7"/>
        <v>#REF!</v>
      </c>
      <c r="O28" s="13">
        <f t="shared" si="4"/>
        <v>2.8129398148148148</v>
      </c>
      <c r="P28" s="13">
        <f t="shared" si="5"/>
        <v>2.8460532407407406</v>
      </c>
    </row>
    <row r="29" spans="1:16" x14ac:dyDescent="0.2">
      <c r="A29">
        <v>28</v>
      </c>
      <c r="B29" t="s">
        <v>34</v>
      </c>
      <c r="C29" t="s">
        <v>123</v>
      </c>
      <c r="D29" s="13">
        <f t="shared" si="8"/>
        <v>3.2210532407407402</v>
      </c>
      <c r="E29" s="13">
        <v>3.1296296296296301E-2</v>
      </c>
      <c r="F29" t="s">
        <v>91</v>
      </c>
      <c r="G29" t="e">
        <f>VLOOKUP(LEFT(F29,LEN(F29)-1),CoursesBasis!B$3:J$14,12,FALSE)</f>
        <v>#REF!</v>
      </c>
      <c r="H29" s="13" t="e">
        <f t="shared" si="0"/>
        <v>#REF!</v>
      </c>
      <c r="I29" s="109">
        <f t="shared" si="9"/>
        <v>5</v>
      </c>
      <c r="J29" s="56">
        <f t="shared" si="1"/>
        <v>1.1666666666666667</v>
      </c>
      <c r="K29" s="56">
        <f t="shared" si="2"/>
        <v>1.1000000000000001</v>
      </c>
      <c r="L29" s="56">
        <f t="shared" si="3"/>
        <v>1</v>
      </c>
      <c r="M29" s="110">
        <f t="shared" si="6"/>
        <v>1.2833333333333334</v>
      </c>
      <c r="N29" s="13" t="e">
        <f t="shared" si="7"/>
        <v>#REF!</v>
      </c>
      <c r="O29" s="13">
        <f t="shared" si="4"/>
        <v>2.8460532407407406</v>
      </c>
      <c r="P29" s="13">
        <f t="shared" si="5"/>
        <v>2.8773495370370368</v>
      </c>
    </row>
    <row r="30" spans="1:16" x14ac:dyDescent="0.2">
      <c r="A30">
        <v>29</v>
      </c>
      <c r="B30" t="s">
        <v>35</v>
      </c>
      <c r="C30" t="s">
        <v>38</v>
      </c>
      <c r="D30" s="13">
        <f t="shared" si="8"/>
        <v>3.2523495370370363</v>
      </c>
      <c r="E30" s="13">
        <v>3.7905092592592594E-2</v>
      </c>
      <c r="F30" t="s">
        <v>73</v>
      </c>
      <c r="G30" t="e">
        <f>VLOOKUP(LEFT(F30,LEN(F30)-1),CoursesBasis!B$3:J$14,12,FALSE)</f>
        <v>#REF!</v>
      </c>
      <c r="H30" s="13" t="e">
        <f t="shared" si="0"/>
        <v>#REF!</v>
      </c>
      <c r="I30" s="109">
        <f t="shared" si="9"/>
        <v>5</v>
      </c>
      <c r="J30" s="56">
        <f t="shared" si="1"/>
        <v>1.1666666666666667</v>
      </c>
      <c r="K30" s="56">
        <f t="shared" si="2"/>
        <v>1.1000000000000001</v>
      </c>
      <c r="L30" s="56">
        <f t="shared" si="3"/>
        <v>1</v>
      </c>
      <c r="M30" s="110">
        <f t="shared" si="6"/>
        <v>1.2833333333333334</v>
      </c>
      <c r="N30" s="13" t="e">
        <f t="shared" si="7"/>
        <v>#REF!</v>
      </c>
      <c r="O30" s="13">
        <f t="shared" si="4"/>
        <v>2.8773495370370359</v>
      </c>
      <c r="P30" s="13">
        <f t="shared" si="5"/>
        <v>2.9152546296296284</v>
      </c>
    </row>
    <row r="31" spans="1:16" x14ac:dyDescent="0.2">
      <c r="A31">
        <v>30</v>
      </c>
      <c r="B31" t="s">
        <v>37</v>
      </c>
      <c r="C31" t="s">
        <v>33</v>
      </c>
      <c r="D31" s="13">
        <f t="shared" si="8"/>
        <v>3.2902546296296289</v>
      </c>
      <c r="E31" s="13">
        <v>4.0868055555555553E-2</v>
      </c>
      <c r="F31" t="s">
        <v>74</v>
      </c>
      <c r="G31" t="e">
        <f>VLOOKUP(LEFT(F31,LEN(F31)-1),CoursesBasis!B$3:J$14,12,FALSE)</f>
        <v>#REF!</v>
      </c>
      <c r="H31" s="13" t="e">
        <f t="shared" si="0"/>
        <v>#REF!</v>
      </c>
      <c r="I31" s="109">
        <f t="shared" si="9"/>
        <v>5</v>
      </c>
      <c r="J31" s="56">
        <f t="shared" si="1"/>
        <v>1.1666666666666667</v>
      </c>
      <c r="K31" s="56">
        <f t="shared" si="2"/>
        <v>1.1000000000000001</v>
      </c>
      <c r="L31" s="56">
        <f t="shared" si="3"/>
        <v>1</v>
      </c>
      <c r="M31" s="110">
        <f t="shared" si="6"/>
        <v>1.2833333333333334</v>
      </c>
      <c r="N31" s="13" t="e">
        <f t="shared" si="7"/>
        <v>#REF!</v>
      </c>
      <c r="O31" s="13">
        <f t="shared" si="4"/>
        <v>2.9152546296296293</v>
      </c>
      <c r="P31" s="13">
        <f t="shared" si="5"/>
        <v>2.9561226851851847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10</vt:i4>
      </vt:variant>
    </vt:vector>
  </HeadingPairs>
  <TitlesOfParts>
    <vt:vector size="16" baseType="lpstr">
      <vt:lpstr>Parameters</vt:lpstr>
      <vt:lpstr>Plan24h2011</vt:lpstr>
      <vt:lpstr>CoursesBasis</vt:lpstr>
      <vt:lpstr>TimeBasis</vt:lpstr>
      <vt:lpstr>2007</vt:lpstr>
      <vt:lpstr>2009</vt:lpstr>
      <vt:lpstr>Basis</vt:lpstr>
      <vt:lpstr>Climbfaktor</vt:lpstr>
      <vt:lpstr>Courses</vt:lpstr>
      <vt:lpstr>Plan24h2011!Druckbereich</vt:lpstr>
      <vt:lpstr>Endzeit</vt:lpstr>
      <vt:lpstr>Erm</vt:lpstr>
      <vt:lpstr>Schwierigkeit</vt:lpstr>
      <vt:lpstr>Startzeit</vt:lpstr>
      <vt:lpstr>Twilight</vt:lpstr>
      <vt:lpstr>Zeit</vt:lpstr>
    </vt:vector>
  </TitlesOfParts>
  <Company>100world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die ultimative 24-h-OL Tabelle</dc:title>
  <dc:creator>Valerio Casanova;Veikko Baath</dc:creator>
  <cp:lastModifiedBy>Baath, Veikko</cp:lastModifiedBy>
  <cp:lastPrinted>2013-04-30T12:40:17Z</cp:lastPrinted>
  <dcterms:created xsi:type="dcterms:W3CDTF">2009-05-11T13:51:18Z</dcterms:created>
  <dcterms:modified xsi:type="dcterms:W3CDTF">2013-04-30T12:40:22Z</dcterms:modified>
</cp:coreProperties>
</file>