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330" yWindow="555" windowWidth="20175" windowHeight="7830" activeTab="1"/>
  </bookViews>
  <sheets>
    <sheet name="Parameters" sheetId="15" r:id="rId1"/>
    <sheet name="Plan24h2013" sheetId="12" r:id="rId2"/>
    <sheet name="CoursesBasis" sheetId="6" r:id="rId3"/>
    <sheet name="TimeBasis" sheetId="14" r:id="rId4"/>
  </sheets>
  <definedNames>
    <definedName name="_xlnm._FilterDatabase" localSheetId="1" hidden="1">Plan24h2013!$A$2:$X$41</definedName>
    <definedName name="BahnLaufzeiten">Plan24h2013!$F$2:$R$40</definedName>
    <definedName name="Basis">Parameters!$E$3:$F$9</definedName>
    <definedName name="Climbfaktor">Parameters!$C$29</definedName>
    <definedName name="Courses">CoursesBasis!$B$3:$Q$15</definedName>
    <definedName name="Dämmerung">Parameters!$C$35</definedName>
    <definedName name="Dämmerungszeit">Parameters!$C$35</definedName>
    <definedName name="_xlnm.Print_Area" localSheetId="0">Parameters!$B:$I</definedName>
    <definedName name="_xlnm.Print_Area" localSheetId="1">Plan24h2013!$A:$U</definedName>
    <definedName name="_xlnm.Print_Titles" localSheetId="1">Plan24h2013!$A:$D,Plan24h2013!$1:$2</definedName>
    <definedName name="Endzeit">Plan24h2013!$AC$28</definedName>
    <definedName name="Erm">Parameters!$B$55:$C$62</definedName>
    <definedName name="ErmP">Parameters!$B$55:$I$62</definedName>
    <definedName name="IstLaufzeiten">Plan24h2013!$R$2:$R$40</definedName>
    <definedName name="Schwierigkeit">Parameters!$B$13:$C$25</definedName>
    <definedName name="SchwierigkeitP">Parameters!$B$13:$I$25</definedName>
    <definedName name="Staffeldauer">Parameters!$C$36</definedName>
    <definedName name="Startzeit">Parameters!$C$33</definedName>
    <definedName name="Teilnehmer">Parameters!$B$3:$E$9</definedName>
    <definedName name="TimeBasis">TimeBasis!$A$2:$E$74</definedName>
    <definedName name="Twilight">Plan24h2013!$AC$27</definedName>
    <definedName name="Zeit">Parameters!$C$41:$D$47</definedName>
    <definedName name="Zielzeit">Parameters!$C$37</definedName>
  </definedNames>
  <calcPr calcId="145621"/>
</workbook>
</file>

<file path=xl/calcChain.xml><?xml version="1.0" encoding="utf-8"?>
<calcChain xmlns="http://schemas.openxmlformats.org/spreadsheetml/2006/main">
  <c r="AB31" i="12" l="1"/>
  <c r="AB32" i="12"/>
  <c r="AB33" i="12"/>
  <c r="AB34" i="12"/>
  <c r="AB35" i="12"/>
  <c r="AB36" i="12"/>
  <c r="AB37" i="12"/>
  <c r="AB38" i="12"/>
  <c r="AB39" i="12"/>
  <c r="AB40" i="12"/>
  <c r="C4" i="14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D46" i="14" s="1"/>
  <c r="C47" i="14"/>
  <c r="D47" i="14" s="1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3" i="14"/>
  <c r="D50" i="14"/>
  <c r="D51" i="14"/>
  <c r="D48" i="14"/>
  <c r="D49" i="14"/>
  <c r="D52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3" i="14"/>
  <c r="AC19" i="12"/>
  <c r="AC20" i="12"/>
  <c r="AC21" i="12"/>
  <c r="AC22" i="12"/>
  <c r="AC23" i="12"/>
  <c r="AC18" i="12"/>
  <c r="AD19" i="12" l="1"/>
  <c r="AE19" i="12"/>
  <c r="AF19" i="12"/>
  <c r="AD20" i="12"/>
  <c r="AE20" i="12"/>
  <c r="AF20" i="12"/>
  <c r="AD21" i="12"/>
  <c r="AE21" i="12"/>
  <c r="AF21" i="12"/>
  <c r="AD22" i="12"/>
  <c r="AE22" i="12"/>
  <c r="AF22" i="12"/>
  <c r="AD23" i="12"/>
  <c r="AE23" i="12"/>
  <c r="AF23" i="12"/>
  <c r="AE18" i="12"/>
  <c r="AF18" i="12"/>
  <c r="AD18" i="12"/>
  <c r="R41" i="12"/>
  <c r="L4" i="12" l="1"/>
  <c r="L5" i="12" s="1"/>
  <c r="L6" i="12" s="1"/>
  <c r="L7" i="12" s="1"/>
  <c r="L8" i="12" s="1"/>
  <c r="L9" i="12" s="1"/>
  <c r="L10" i="12" s="1"/>
  <c r="L11" i="12" s="1"/>
  <c r="L12" i="12" s="1"/>
  <c r="L13" i="12" s="1"/>
  <c r="L14" i="12" s="1"/>
  <c r="L15" i="12" s="1"/>
  <c r="L16" i="12" s="1"/>
  <c r="L17" i="12" s="1"/>
  <c r="L18" i="12" s="1"/>
  <c r="L19" i="12" s="1"/>
  <c r="L20" i="12" s="1"/>
  <c r="L21" i="12" s="1"/>
  <c r="L22" i="12" s="1"/>
  <c r="L23" i="12" s="1"/>
  <c r="L24" i="12" s="1"/>
  <c r="L25" i="12" s="1"/>
  <c r="L26" i="12" s="1"/>
  <c r="AE2" i="12" l="1"/>
  <c r="AF2" i="12"/>
  <c r="AG2" i="12"/>
  <c r="AH2" i="12"/>
  <c r="AI2" i="12"/>
  <c r="AD2" i="12"/>
  <c r="D56" i="15" l="1"/>
  <c r="E56" i="15"/>
  <c r="F56" i="15"/>
  <c r="G56" i="15"/>
  <c r="H56" i="15"/>
  <c r="I56" i="15"/>
  <c r="D57" i="15"/>
  <c r="E57" i="15"/>
  <c r="F57" i="15"/>
  <c r="G57" i="15"/>
  <c r="H57" i="15"/>
  <c r="I57" i="15"/>
  <c r="D58" i="15"/>
  <c r="E58" i="15"/>
  <c r="F58" i="15"/>
  <c r="G58" i="15"/>
  <c r="H58" i="15"/>
  <c r="I58" i="15"/>
  <c r="D59" i="15"/>
  <c r="E59" i="15"/>
  <c r="F59" i="15"/>
  <c r="G59" i="15"/>
  <c r="H59" i="15"/>
  <c r="I59" i="15"/>
  <c r="D60" i="15"/>
  <c r="E60" i="15"/>
  <c r="F60" i="15"/>
  <c r="G60" i="15"/>
  <c r="H60" i="15"/>
  <c r="I60" i="15"/>
  <c r="D61" i="15"/>
  <c r="E61" i="15"/>
  <c r="F61" i="15"/>
  <c r="G61" i="15"/>
  <c r="H61" i="15"/>
  <c r="I61" i="15"/>
  <c r="D62" i="15"/>
  <c r="E62" i="15"/>
  <c r="F62" i="15"/>
  <c r="G62" i="15"/>
  <c r="H62" i="15"/>
  <c r="I62" i="15"/>
  <c r="C57" i="15"/>
  <c r="C58" i="15"/>
  <c r="C59" i="15"/>
  <c r="C60" i="15"/>
  <c r="C61" i="15"/>
  <c r="C62" i="15"/>
  <c r="C56" i="15"/>
  <c r="AC26" i="12" l="1"/>
  <c r="E43" i="15" l="1"/>
  <c r="C43" i="15"/>
  <c r="Q3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3" i="12"/>
  <c r="C4" i="12"/>
  <c r="C5" i="12"/>
  <c r="C6" i="12"/>
  <c r="C7" i="12"/>
  <c r="C8" i="12"/>
  <c r="C3" i="12"/>
  <c r="C9" i="15"/>
  <c r="C8" i="15"/>
  <c r="C7" i="15"/>
  <c r="C6" i="15"/>
  <c r="C5" i="15"/>
  <c r="C4" i="15"/>
  <c r="I55" i="15"/>
  <c r="H55" i="15"/>
  <c r="G55" i="15"/>
  <c r="F55" i="15"/>
  <c r="E55" i="15"/>
  <c r="D55" i="15"/>
  <c r="I51" i="15"/>
  <c r="H51" i="15"/>
  <c r="G51" i="15"/>
  <c r="F51" i="15"/>
  <c r="E51" i="15"/>
  <c r="D51" i="15"/>
  <c r="I13" i="15"/>
  <c r="Q3" i="6" s="1"/>
  <c r="H13" i="15"/>
  <c r="P3" i="6" s="1"/>
  <c r="F13" i="15"/>
  <c r="N3" i="6" s="1"/>
  <c r="E13" i="15"/>
  <c r="M3" i="6" s="1"/>
  <c r="D13" i="15"/>
  <c r="L3" i="6" s="1"/>
  <c r="G13" i="15"/>
  <c r="O3" i="6" s="1"/>
  <c r="H3" i="12" l="1"/>
  <c r="H4" i="12"/>
  <c r="H5" i="12"/>
  <c r="H6" i="12"/>
  <c r="H7" i="12"/>
  <c r="H8" i="12"/>
  <c r="I4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3" i="12"/>
  <c r="I10" i="6"/>
  <c r="I9" i="6"/>
  <c r="G10" i="6"/>
  <c r="G9" i="6"/>
  <c r="G4" i="6"/>
  <c r="I4" i="6"/>
  <c r="E44" i="15" l="1"/>
  <c r="E45" i="15"/>
  <c r="E46" i="15"/>
  <c r="E47" i="15"/>
  <c r="E42" i="15"/>
  <c r="P3" i="12"/>
  <c r="J5" i="6" l="1"/>
  <c r="U8" i="12" s="1"/>
  <c r="J6" i="6"/>
  <c r="N6" i="6" s="1"/>
  <c r="B29" i="14" s="1"/>
  <c r="J7" i="6"/>
  <c r="L7" i="6" s="1"/>
  <c r="B6" i="14" s="1"/>
  <c r="J8" i="6"/>
  <c r="Q8" i="6" s="1"/>
  <c r="B67" i="14" s="1"/>
  <c r="J9" i="6"/>
  <c r="J10" i="6"/>
  <c r="J11" i="6"/>
  <c r="M11" i="6" s="1"/>
  <c r="B22" i="14" s="1"/>
  <c r="J12" i="6"/>
  <c r="N12" i="6" s="1"/>
  <c r="B35" i="14" s="1"/>
  <c r="J13" i="6"/>
  <c r="J14" i="6"/>
  <c r="O14" i="6" s="1"/>
  <c r="B49" i="14" s="1"/>
  <c r="J15" i="6"/>
  <c r="U40" i="12" s="1"/>
  <c r="AA4" i="12"/>
  <c r="AA5" i="12"/>
  <c r="AA6" i="12"/>
  <c r="AA7" i="12"/>
  <c r="AA8" i="12"/>
  <c r="AA9" i="12"/>
  <c r="AA10" i="12"/>
  <c r="AA11" i="12"/>
  <c r="AA12" i="12"/>
  <c r="AA13" i="12"/>
  <c r="AA14" i="12"/>
  <c r="AA3" i="12"/>
  <c r="A6" i="14"/>
  <c r="S41" i="12"/>
  <c r="T41" i="12"/>
  <c r="F3" i="12"/>
  <c r="F4" i="12"/>
  <c r="F5" i="12"/>
  <c r="F6" i="12"/>
  <c r="F7" i="12"/>
  <c r="F8" i="12"/>
  <c r="F9" i="12"/>
  <c r="G9" i="12"/>
  <c r="H9" i="12" s="1"/>
  <c r="F10" i="12"/>
  <c r="G10" i="12"/>
  <c r="F11" i="12"/>
  <c r="G11" i="12"/>
  <c r="H11" i="12" s="1"/>
  <c r="F12" i="12"/>
  <c r="G12" i="12"/>
  <c r="H12" i="12" s="1"/>
  <c r="F13" i="12"/>
  <c r="G13" i="12"/>
  <c r="H13" i="12" s="1"/>
  <c r="F14" i="12"/>
  <c r="G14" i="12"/>
  <c r="H14" i="12" s="1"/>
  <c r="Z19" i="12"/>
  <c r="Z20" i="12"/>
  <c r="Z21" i="12"/>
  <c r="Z22" i="12"/>
  <c r="Z23" i="12"/>
  <c r="Z18" i="12"/>
  <c r="A3" i="14"/>
  <c r="A4" i="14"/>
  <c r="A5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P5" i="6"/>
  <c r="B52" i="14" s="1"/>
  <c r="N5" i="6"/>
  <c r="B28" i="14" s="1"/>
  <c r="M5" i="6"/>
  <c r="B16" i="14" s="1"/>
  <c r="L5" i="6"/>
  <c r="B4" i="14" s="1"/>
  <c r="C37" i="15"/>
  <c r="AC28" i="12" s="1"/>
  <c r="C35" i="15"/>
  <c r="C47" i="15"/>
  <c r="C46" i="15"/>
  <c r="C45" i="15"/>
  <c r="C44" i="15"/>
  <c r="C42" i="15"/>
  <c r="AB3" i="12"/>
  <c r="AC3" i="12" s="1"/>
  <c r="AB4" i="12"/>
  <c r="AC4" i="12" s="1"/>
  <c r="AB5" i="12"/>
  <c r="AC5" i="12" s="1"/>
  <c r="AB6" i="12"/>
  <c r="AC6" i="12" s="1"/>
  <c r="AB7" i="12"/>
  <c r="AC7" i="12" s="1"/>
  <c r="AB8" i="12"/>
  <c r="AC8" i="12" s="1"/>
  <c r="AB9" i="12"/>
  <c r="AC9" i="12" s="1"/>
  <c r="AB10" i="12"/>
  <c r="AC10" i="12" s="1"/>
  <c r="AB11" i="12"/>
  <c r="AC11" i="12" s="1"/>
  <c r="AB12" i="12"/>
  <c r="AC12" i="12" s="1"/>
  <c r="AB13" i="12"/>
  <c r="AC13" i="12" s="1"/>
  <c r="AB14" i="12"/>
  <c r="AC14" i="12" s="1"/>
  <c r="AE11" i="6"/>
  <c r="AD7" i="6"/>
  <c r="Q5" i="6"/>
  <c r="B64" i="14" s="1"/>
  <c r="O5" i="6"/>
  <c r="B40" i="14" s="1"/>
  <c r="P14" i="6"/>
  <c r="B61" i="14" s="1"/>
  <c r="F23" i="12"/>
  <c r="G19" i="12" l="1"/>
  <c r="AC27" i="12"/>
  <c r="Q4" i="12" s="1"/>
  <c r="Q5" i="12" s="1"/>
  <c r="Q6" i="12" s="1"/>
  <c r="G15" i="12"/>
  <c r="G20" i="12"/>
  <c r="G18" i="12"/>
  <c r="G17" i="12"/>
  <c r="G16" i="12"/>
  <c r="H16" i="12" s="1"/>
  <c r="H10" i="12"/>
  <c r="F17" i="12"/>
  <c r="P11" i="6"/>
  <c r="B58" i="14" s="1"/>
  <c r="P15" i="6"/>
  <c r="B62" i="14" s="1"/>
  <c r="N7" i="6"/>
  <c r="B30" i="14" s="1"/>
  <c r="Q15" i="6"/>
  <c r="B74" i="14" s="1"/>
  <c r="Q11" i="6"/>
  <c r="B70" i="14" s="1"/>
  <c r="O7" i="6"/>
  <c r="B42" i="14" s="1"/>
  <c r="O11" i="6"/>
  <c r="B46" i="14" s="1"/>
  <c r="Q7" i="6"/>
  <c r="B66" i="14" s="1"/>
  <c r="N11" i="6"/>
  <c r="B34" i="14" s="1"/>
  <c r="L15" i="6"/>
  <c r="B14" i="14" s="1"/>
  <c r="O15" i="6"/>
  <c r="B50" i="14" s="1"/>
  <c r="U7" i="12"/>
  <c r="V7" i="12" s="1"/>
  <c r="L14" i="6"/>
  <c r="B13" i="14" s="1"/>
  <c r="N14" i="6"/>
  <c r="B37" i="14" s="1"/>
  <c r="U6" i="12"/>
  <c r="V6" i="12" s="1"/>
  <c r="M7" i="6"/>
  <c r="B18" i="14" s="1"/>
  <c r="U11" i="12"/>
  <c r="V11" i="12" s="1"/>
  <c r="P7" i="6"/>
  <c r="B54" i="14" s="1"/>
  <c r="U4" i="12"/>
  <c r="V4" i="12" s="1"/>
  <c r="U9" i="12"/>
  <c r="V9" i="12" s="1"/>
  <c r="U13" i="12"/>
  <c r="V13" i="12" s="1"/>
  <c r="U17" i="12"/>
  <c r="V17" i="12" s="1"/>
  <c r="U21" i="12"/>
  <c r="V21" i="12" s="1"/>
  <c r="U25" i="12"/>
  <c r="V25" i="12" s="1"/>
  <c r="U29" i="12"/>
  <c r="V29" i="12" s="1"/>
  <c r="U33" i="12"/>
  <c r="V33" i="12" s="1"/>
  <c r="W33" i="12" s="1"/>
  <c r="U37" i="12"/>
  <c r="V37" i="12" s="1"/>
  <c r="W37" i="12" s="1"/>
  <c r="U5" i="12"/>
  <c r="V5" i="12" s="1"/>
  <c r="U10" i="12"/>
  <c r="V10" i="12" s="1"/>
  <c r="U14" i="12"/>
  <c r="V14" i="12" s="1"/>
  <c r="U18" i="12"/>
  <c r="V18" i="12" s="1"/>
  <c r="U22" i="12"/>
  <c r="V22" i="12" s="1"/>
  <c r="U26" i="12"/>
  <c r="V26" i="12" s="1"/>
  <c r="U30" i="12"/>
  <c r="V30" i="12" s="1"/>
  <c r="U34" i="12"/>
  <c r="V34" i="12" s="1"/>
  <c r="W34" i="12" s="1"/>
  <c r="U38" i="12"/>
  <c r="V38" i="12" s="1"/>
  <c r="W38" i="12" s="1"/>
  <c r="U15" i="12"/>
  <c r="V15" i="12" s="1"/>
  <c r="U19" i="12"/>
  <c r="V19" i="12" s="1"/>
  <c r="U23" i="12"/>
  <c r="V23" i="12" s="1"/>
  <c r="U27" i="12"/>
  <c r="V27" i="12" s="1"/>
  <c r="U31" i="12"/>
  <c r="V31" i="12" s="1"/>
  <c r="U35" i="12"/>
  <c r="V35" i="12" s="1"/>
  <c r="W35" i="12" s="1"/>
  <c r="U39" i="12"/>
  <c r="V39" i="12" s="1"/>
  <c r="W39" i="12" s="1"/>
  <c r="U12" i="12"/>
  <c r="V12" i="12" s="1"/>
  <c r="U16" i="12"/>
  <c r="V16" i="12" s="1"/>
  <c r="U20" i="12"/>
  <c r="V20" i="12" s="1"/>
  <c r="U24" i="12"/>
  <c r="V24" i="12" s="1"/>
  <c r="U28" i="12"/>
  <c r="V28" i="12" s="1"/>
  <c r="U32" i="12"/>
  <c r="V32" i="12" s="1"/>
  <c r="U36" i="12"/>
  <c r="V36" i="12" s="1"/>
  <c r="W36" i="12" s="1"/>
  <c r="L6" i="6"/>
  <c r="B5" i="14" s="1"/>
  <c r="M14" i="6"/>
  <c r="B25" i="14" s="1"/>
  <c r="M8" i="6"/>
  <c r="B19" i="14" s="1"/>
  <c r="Q12" i="6"/>
  <c r="B71" i="14" s="1"/>
  <c r="O6" i="6"/>
  <c r="B41" i="14" s="1"/>
  <c r="O8" i="6"/>
  <c r="B43" i="14" s="1"/>
  <c r="Q14" i="6"/>
  <c r="B73" i="14" s="1"/>
  <c r="L11" i="6"/>
  <c r="B10" i="14" s="1"/>
  <c r="V8" i="12"/>
  <c r="L10" i="6"/>
  <c r="B9" i="14" s="1"/>
  <c r="J4" i="6"/>
  <c r="L4" i="6" s="1"/>
  <c r="B3" i="14" s="1"/>
  <c r="P12" i="6"/>
  <c r="B59" i="14" s="1"/>
  <c r="P6" i="6"/>
  <c r="B53" i="14" s="1"/>
  <c r="M6" i="6"/>
  <c r="B17" i="14" s="1"/>
  <c r="L8" i="6"/>
  <c r="B7" i="14" s="1"/>
  <c r="O12" i="6"/>
  <c r="B47" i="14" s="1"/>
  <c r="M15" i="6"/>
  <c r="B26" i="14" s="1"/>
  <c r="N15" i="6"/>
  <c r="B38" i="14" s="1"/>
  <c r="J3" i="12"/>
  <c r="Q6" i="6"/>
  <c r="B65" i="14" s="1"/>
  <c r="N8" i="6"/>
  <c r="B31" i="14" s="1"/>
  <c r="P8" i="6"/>
  <c r="B55" i="14" s="1"/>
  <c r="L12" i="6"/>
  <c r="B11" i="14" s="1"/>
  <c r="M12" i="6"/>
  <c r="B23" i="14" s="1"/>
  <c r="V40" i="12"/>
  <c r="W40" i="12" s="1"/>
  <c r="AB15" i="12"/>
  <c r="Q10" i="6"/>
  <c r="B69" i="14" s="1"/>
  <c r="M10" i="6"/>
  <c r="B21" i="14" s="1"/>
  <c r="N10" i="6"/>
  <c r="B33" i="14" s="1"/>
  <c r="P10" i="6"/>
  <c r="B57" i="14" s="1"/>
  <c r="P13" i="6"/>
  <c r="B60" i="14" s="1"/>
  <c r="O13" i="6"/>
  <c r="B48" i="14" s="1"/>
  <c r="M13" i="6"/>
  <c r="B24" i="14" s="1"/>
  <c r="P9" i="6"/>
  <c r="B56" i="14" s="1"/>
  <c r="L9" i="6"/>
  <c r="B8" i="14" s="1"/>
  <c r="Q9" i="6"/>
  <c r="B68" i="14" s="1"/>
  <c r="O9" i="6"/>
  <c r="B44" i="14" s="1"/>
  <c r="M9" i="6"/>
  <c r="B20" i="14" s="1"/>
  <c r="N9" i="6"/>
  <c r="B32" i="14" s="1"/>
  <c r="AC15" i="12"/>
  <c r="G22" i="12" l="1"/>
  <c r="H19" i="12"/>
  <c r="G25" i="12"/>
  <c r="G23" i="12"/>
  <c r="H17" i="12"/>
  <c r="H20" i="12"/>
  <c r="G26" i="12"/>
  <c r="H18" i="12"/>
  <c r="G24" i="12"/>
  <c r="H15" i="12"/>
  <c r="G21" i="12"/>
  <c r="F18" i="12"/>
  <c r="F19" i="12"/>
  <c r="F15" i="12"/>
  <c r="K3" i="12"/>
  <c r="N3" i="12" s="1"/>
  <c r="Q7" i="12"/>
  <c r="O4" i="6"/>
  <c r="B39" i="14" s="1"/>
  <c r="Q4" i="6"/>
  <c r="B63" i="14" s="1"/>
  <c r="F20" i="12"/>
  <c r="P4" i="6"/>
  <c r="B51" i="14" s="1"/>
  <c r="U3" i="12"/>
  <c r="U41" i="12" s="1"/>
  <c r="F35" i="12"/>
  <c r="F29" i="12"/>
  <c r="N4" i="6"/>
  <c r="B27" i="14" s="1"/>
  <c r="M4" i="6"/>
  <c r="B15" i="14" s="1"/>
  <c r="Q13" i="6"/>
  <c r="B72" i="14" s="1"/>
  <c r="J16" i="6"/>
  <c r="N13" i="6"/>
  <c r="B36" i="14" s="1"/>
  <c r="L13" i="6"/>
  <c r="B12" i="14" s="1"/>
  <c r="O10" i="6"/>
  <c r="B45" i="14" s="1"/>
  <c r="F16" i="12"/>
  <c r="H25" i="12" l="1"/>
  <c r="G31" i="12"/>
  <c r="H22" i="12"/>
  <c r="G28" i="12"/>
  <c r="M3" i="12"/>
  <c r="G30" i="12"/>
  <c r="H24" i="12"/>
  <c r="H21" i="12"/>
  <c r="G27" i="12"/>
  <c r="H26" i="12"/>
  <c r="G32" i="12"/>
  <c r="H23" i="12"/>
  <c r="G29" i="12"/>
  <c r="F24" i="12"/>
  <c r="F21" i="12"/>
  <c r="F25" i="12"/>
  <c r="Q8" i="12"/>
  <c r="F26" i="12"/>
  <c r="V3" i="12"/>
  <c r="W3" i="12" s="1"/>
  <c r="X3" i="12" s="1"/>
  <c r="F22" i="12"/>
  <c r="H28" i="12" l="1"/>
  <c r="G34" i="12"/>
  <c r="H31" i="12"/>
  <c r="G37" i="12"/>
  <c r="H37" i="12" s="1"/>
  <c r="H29" i="12"/>
  <c r="G35" i="12"/>
  <c r="H35" i="12" s="1"/>
  <c r="H27" i="12"/>
  <c r="G33" i="12"/>
  <c r="G38" i="12"/>
  <c r="H38" i="12" s="1"/>
  <c r="H32" i="12"/>
  <c r="H30" i="12"/>
  <c r="G36" i="12"/>
  <c r="H36" i="12" s="1"/>
  <c r="F36" i="12"/>
  <c r="F30" i="12"/>
  <c r="F31" i="12"/>
  <c r="F37" i="12"/>
  <c r="F27" i="12"/>
  <c r="Q9" i="12"/>
  <c r="F38" i="12"/>
  <c r="F32" i="12"/>
  <c r="F28" i="12"/>
  <c r="H34" i="12" l="1"/>
  <c r="G40" i="12"/>
  <c r="H40" i="12" s="1"/>
  <c r="P4" i="12"/>
  <c r="O4" i="12"/>
  <c r="J4" i="12"/>
  <c r="K4" i="12" s="1"/>
  <c r="N4" i="12" s="1"/>
  <c r="G39" i="12"/>
  <c r="H39" i="12" s="1"/>
  <c r="H33" i="12"/>
  <c r="F33" i="12"/>
  <c r="F39" i="12"/>
  <c r="Q10" i="12"/>
  <c r="F40" i="12"/>
  <c r="F34" i="12"/>
  <c r="M4" i="12" l="1"/>
  <c r="Q11" i="12"/>
  <c r="W4" i="12"/>
  <c r="X4" i="12" s="1"/>
  <c r="Q12" i="12" l="1"/>
  <c r="P5" i="12" l="1"/>
  <c r="O5" i="12"/>
  <c r="J5" i="12"/>
  <c r="K5" i="12" s="1"/>
  <c r="N5" i="12" s="1"/>
  <c r="Q13" i="12"/>
  <c r="M5" i="12" l="1"/>
  <c r="W5" i="12"/>
  <c r="X5" i="12" s="1"/>
  <c r="Q14" i="12"/>
  <c r="P6" i="12" l="1"/>
  <c r="O6" i="12"/>
  <c r="J6" i="12"/>
  <c r="K6" i="12" s="1"/>
  <c r="Q15" i="12"/>
  <c r="W6" i="12" l="1"/>
  <c r="N6" i="12"/>
  <c r="M6" i="12"/>
  <c r="O7" i="12" s="1"/>
  <c r="Q16" i="12"/>
  <c r="X6" i="12" l="1"/>
  <c r="J7" i="12"/>
  <c r="K7" i="12" s="1"/>
  <c r="P7" i="12"/>
  <c r="Q17" i="12"/>
  <c r="M7" i="12" l="1"/>
  <c r="O8" i="12" s="1"/>
  <c r="N7" i="12"/>
  <c r="W7" i="12"/>
  <c r="Q18" i="12"/>
  <c r="X7" i="12" l="1"/>
  <c r="J8" i="12"/>
  <c r="K8" i="12" s="1"/>
  <c r="N8" i="12" s="1"/>
  <c r="P8" i="12"/>
  <c r="Q19" i="12"/>
  <c r="W8" i="12" l="1"/>
  <c r="X8" i="12" s="1"/>
  <c r="M8" i="12"/>
  <c r="O9" i="12" s="1"/>
  <c r="Q20" i="12"/>
  <c r="P9" i="12" l="1"/>
  <c r="J9" i="12"/>
  <c r="K9" i="12" s="1"/>
  <c r="N9" i="12" s="1"/>
  <c r="Q21" i="12"/>
  <c r="W9" i="12" l="1"/>
  <c r="X9" i="12" s="1"/>
  <c r="M9" i="12"/>
  <c r="O10" i="12" s="1"/>
  <c r="P10" i="12"/>
  <c r="Q22" i="12"/>
  <c r="C9" i="12" l="1"/>
  <c r="J10" i="12"/>
  <c r="K10" i="12" s="1"/>
  <c r="N10" i="12" s="1"/>
  <c r="Q23" i="12"/>
  <c r="W10" i="12" l="1"/>
  <c r="X10" i="12" s="1"/>
  <c r="M10" i="12"/>
  <c r="P11" i="12"/>
  <c r="Q24" i="12"/>
  <c r="O11" i="12" l="1"/>
  <c r="Q25" i="12"/>
  <c r="C10" i="12" l="1"/>
  <c r="J11" i="12"/>
  <c r="K11" i="12" s="1"/>
  <c r="W11" i="12" s="1"/>
  <c r="P12" i="12"/>
  <c r="Q26" i="12"/>
  <c r="N11" i="12" l="1"/>
  <c r="X11" i="12" s="1"/>
  <c r="M11" i="12"/>
  <c r="Q27" i="12"/>
  <c r="C11" i="12" l="1"/>
  <c r="J12" i="12"/>
  <c r="K12" i="12" s="1"/>
  <c r="W12" i="12" s="1"/>
  <c r="O12" i="12"/>
  <c r="Q28" i="12"/>
  <c r="N12" i="12" l="1"/>
  <c r="X12" i="12" s="1"/>
  <c r="M12" i="12"/>
  <c r="P13" i="12" s="1"/>
  <c r="Q29" i="12"/>
  <c r="O13" i="12" l="1"/>
  <c r="C12" i="12"/>
  <c r="J13" i="12"/>
  <c r="K13" i="12" s="1"/>
  <c r="W13" i="12" s="1"/>
  <c r="Q30" i="12"/>
  <c r="N13" i="12" l="1"/>
  <c r="X13" i="12" s="1"/>
  <c r="M13" i="12"/>
  <c r="P14" i="12" s="1"/>
  <c r="Q31" i="12"/>
  <c r="C13" i="12" l="1"/>
  <c r="J14" i="12"/>
  <c r="K14" i="12" s="1"/>
  <c r="W14" i="12" s="1"/>
  <c r="O14" i="12"/>
  <c r="P15" i="12"/>
  <c r="Q32" i="12"/>
  <c r="N14" i="12" l="1"/>
  <c r="X14" i="12" s="1"/>
  <c r="M14" i="12"/>
  <c r="Q33" i="12"/>
  <c r="C14" i="12" l="1"/>
  <c r="J15" i="12"/>
  <c r="K15" i="12" s="1"/>
  <c r="W15" i="12" s="1"/>
  <c r="O15" i="12"/>
  <c r="P16" i="12"/>
  <c r="Q34" i="12"/>
  <c r="P33" i="12"/>
  <c r="N15" i="12" l="1"/>
  <c r="X15" i="12" s="1"/>
  <c r="M15" i="12"/>
  <c r="Q35" i="12"/>
  <c r="P34" i="12"/>
  <c r="O16" i="12" l="1"/>
  <c r="C15" i="12"/>
  <c r="J16" i="12"/>
  <c r="K16" i="12" s="1"/>
  <c r="W16" i="12" s="1"/>
  <c r="P17" i="12"/>
  <c r="Q36" i="12"/>
  <c r="P35" i="12"/>
  <c r="N16" i="12" l="1"/>
  <c r="X16" i="12" s="1"/>
  <c r="M16" i="12"/>
  <c r="Q37" i="12"/>
  <c r="P36" i="12"/>
  <c r="C16" i="12" l="1"/>
  <c r="J17" i="12"/>
  <c r="K17" i="12" s="1"/>
  <c r="W17" i="12" s="1"/>
  <c r="O17" i="12"/>
  <c r="P18" i="12"/>
  <c r="Q38" i="12"/>
  <c r="P37" i="12"/>
  <c r="N17" i="12" l="1"/>
  <c r="X17" i="12" s="1"/>
  <c r="M17" i="12"/>
  <c r="Q39" i="12"/>
  <c r="P38" i="12"/>
  <c r="O18" i="12" l="1"/>
  <c r="J18" i="12"/>
  <c r="K18" i="12" s="1"/>
  <c r="W18" i="12" s="1"/>
  <c r="C17" i="12"/>
  <c r="P19" i="12"/>
  <c r="Q40" i="12"/>
  <c r="P39" i="12"/>
  <c r="N18" i="12" l="1"/>
  <c r="X18" i="12" s="1"/>
  <c r="M18" i="12"/>
  <c r="P40" i="12"/>
  <c r="Q41" i="12"/>
  <c r="O19" i="12" l="1"/>
  <c r="C18" i="12"/>
  <c r="J19" i="12"/>
  <c r="K19" i="12" s="1"/>
  <c r="W19" i="12" s="1"/>
  <c r="N19" i="12" l="1"/>
  <c r="X19" i="12" s="1"/>
  <c r="M19" i="12"/>
  <c r="P20" i="12" s="1"/>
  <c r="O20" i="12" l="1"/>
  <c r="J20" i="12"/>
  <c r="K20" i="12" s="1"/>
  <c r="W20" i="12" s="1"/>
  <c r="C19" i="12"/>
  <c r="N20" i="12" l="1"/>
  <c r="X20" i="12" s="1"/>
  <c r="M20" i="12"/>
  <c r="C20" i="12" l="1"/>
  <c r="P21" i="12"/>
  <c r="J21" i="12"/>
  <c r="K21" i="12" s="1"/>
  <c r="N21" i="12" s="1"/>
  <c r="O21" i="12"/>
  <c r="W21" i="12" l="1"/>
  <c r="X21" i="12" s="1"/>
  <c r="M21" i="12"/>
  <c r="O22" i="12" l="1"/>
  <c r="C21" i="12"/>
  <c r="J22" i="12"/>
  <c r="P22" i="12"/>
  <c r="K22" i="12" l="1"/>
  <c r="N22" i="12" s="1"/>
  <c r="M22" i="12" l="1"/>
  <c r="W22" i="12"/>
  <c r="X22" i="12" s="1"/>
  <c r="O23" i="12" l="1"/>
  <c r="C22" i="12"/>
  <c r="J23" i="12"/>
  <c r="K23" i="12" s="1"/>
  <c r="N23" i="12" s="1"/>
  <c r="P23" i="12"/>
  <c r="M23" i="12" l="1"/>
  <c r="W23" i="12"/>
  <c r="X23" i="12" s="1"/>
  <c r="O24" i="12" l="1"/>
  <c r="C23" i="12"/>
  <c r="J24" i="12"/>
  <c r="K24" i="12" s="1"/>
  <c r="P24" i="12"/>
  <c r="N24" i="12" l="1"/>
  <c r="W24" i="12"/>
  <c r="M24" i="12"/>
  <c r="X24" i="12" l="1"/>
  <c r="O25" i="12"/>
  <c r="C24" i="12"/>
  <c r="P25" i="12"/>
  <c r="J25" i="12"/>
  <c r="K25" i="12" s="1"/>
  <c r="N25" i="12" s="1"/>
  <c r="M25" i="12" l="1"/>
  <c r="W25" i="12"/>
  <c r="X25" i="12" s="1"/>
  <c r="O26" i="12" l="1"/>
  <c r="C25" i="12"/>
  <c r="P26" i="12"/>
  <c r="J26" i="12"/>
  <c r="K26" i="12" s="1"/>
  <c r="N26" i="12" s="1"/>
  <c r="W26" i="12" l="1"/>
  <c r="X26" i="12" s="1"/>
  <c r="M26" i="12"/>
  <c r="L27" i="12" s="1"/>
  <c r="O27" i="12" l="1"/>
  <c r="C26" i="12"/>
  <c r="J27" i="12"/>
  <c r="K27" i="12" s="1"/>
  <c r="N27" i="12" s="1"/>
  <c r="P27" i="12"/>
  <c r="W27" i="12" l="1"/>
  <c r="X27" i="12" s="1"/>
  <c r="M27" i="12"/>
  <c r="L28" i="12" s="1"/>
  <c r="O28" i="12" l="1"/>
  <c r="C27" i="12"/>
  <c r="P28" i="12"/>
  <c r="J28" i="12"/>
  <c r="K28" i="12" s="1"/>
  <c r="N28" i="12" s="1"/>
  <c r="M28" i="12" l="1"/>
  <c r="L29" i="12" s="1"/>
  <c r="W28" i="12"/>
  <c r="X28" i="12" s="1"/>
  <c r="O29" i="12" l="1"/>
  <c r="C28" i="12"/>
  <c r="P29" i="12"/>
  <c r="J29" i="12"/>
  <c r="K29" i="12" s="1"/>
  <c r="N29" i="12" s="1"/>
  <c r="M29" i="12" l="1"/>
  <c r="L30" i="12" s="1"/>
  <c r="W29" i="12"/>
  <c r="X29" i="12" s="1"/>
  <c r="O30" i="12" l="1"/>
  <c r="C29" i="12"/>
  <c r="P30" i="12"/>
  <c r="J30" i="12"/>
  <c r="K30" i="12" s="1"/>
  <c r="N30" i="12" l="1"/>
  <c r="W30" i="12"/>
  <c r="M30" i="12"/>
  <c r="L31" i="12" s="1"/>
  <c r="X30" i="12" l="1"/>
  <c r="O31" i="12"/>
  <c r="C30" i="12"/>
  <c r="J31" i="12"/>
  <c r="K31" i="12" s="1"/>
  <c r="N31" i="12" s="1"/>
  <c r="P31" i="12"/>
  <c r="M31" i="12" l="1"/>
  <c r="L32" i="12" s="1"/>
  <c r="W31" i="12"/>
  <c r="X31" i="12" s="1"/>
  <c r="O32" i="12" l="1"/>
  <c r="C31" i="12"/>
  <c r="J32" i="12"/>
  <c r="K32" i="12" s="1"/>
  <c r="N32" i="12" s="1"/>
  <c r="P32" i="12"/>
  <c r="W32" i="12" l="1"/>
  <c r="X32" i="12" s="1"/>
  <c r="M32" i="12"/>
  <c r="L33" i="12" s="1"/>
  <c r="O33" i="12" l="1"/>
  <c r="C32" i="12"/>
  <c r="J33" i="12"/>
  <c r="K33" i="12" s="1"/>
  <c r="N33" i="12" l="1"/>
  <c r="X33" i="12" s="1"/>
  <c r="M33" i="12"/>
  <c r="L34" i="12" l="1"/>
  <c r="J34" i="12" l="1"/>
  <c r="K34" i="12" s="1"/>
  <c r="N34" i="12" s="1"/>
  <c r="X34" i="12" s="1"/>
  <c r="O34" i="12"/>
  <c r="C33" i="12"/>
  <c r="M34" i="12" l="1"/>
  <c r="L35" i="12" s="1"/>
  <c r="C34" i="12" s="1"/>
  <c r="J35" i="12" l="1"/>
  <c r="K35" i="12" s="1"/>
  <c r="M35" i="12" s="1"/>
  <c r="L36" i="12" s="1"/>
  <c r="C35" i="12" s="1"/>
  <c r="O35" i="12"/>
  <c r="N35" i="12" l="1"/>
  <c r="X35" i="12" s="1"/>
  <c r="O36" i="12"/>
  <c r="J36" i="12"/>
  <c r="K36" i="12" s="1"/>
  <c r="N36" i="12" l="1"/>
  <c r="X36" i="12" s="1"/>
  <c r="M36" i="12"/>
  <c r="L37" i="12" s="1"/>
  <c r="C36" i="12" s="1"/>
  <c r="O37" i="12" l="1"/>
  <c r="J37" i="12"/>
  <c r="K37" i="12" s="1"/>
  <c r="N37" i="12" l="1"/>
  <c r="X37" i="12" s="1"/>
  <c r="M37" i="12"/>
  <c r="L38" i="12" s="1"/>
  <c r="C37" i="12" s="1"/>
  <c r="O38" i="12" l="1"/>
  <c r="J38" i="12"/>
  <c r="K38" i="12" s="1"/>
  <c r="N38" i="12" l="1"/>
  <c r="X38" i="12" s="1"/>
  <c r="M38" i="12"/>
  <c r="L39" i="12" s="1"/>
  <c r="C38" i="12" s="1"/>
  <c r="O39" i="12" l="1"/>
  <c r="J39" i="12"/>
  <c r="K39" i="12" s="1"/>
  <c r="N39" i="12" s="1"/>
  <c r="X39" i="12" s="1"/>
  <c r="M39" i="12" l="1"/>
  <c r="L40" i="12" s="1"/>
  <c r="O40" i="12" l="1"/>
  <c r="C39" i="12"/>
  <c r="J40" i="12"/>
  <c r="K40" i="12" s="1"/>
  <c r="N40" i="12" s="1"/>
  <c r="X40" i="12" s="1"/>
  <c r="M40" i="12" l="1"/>
  <c r="D42" i="14" l="1"/>
  <c r="E42" i="14" s="1"/>
  <c r="AG6" i="12" s="1"/>
  <c r="D61" i="14"/>
  <c r="E61" i="14" s="1"/>
  <c r="AH13" i="12" s="1"/>
  <c r="D7" i="14"/>
  <c r="E7" i="14" s="1"/>
  <c r="AD7" i="12" s="1"/>
  <c r="D19" i="14"/>
  <c r="E19" i="14" s="1"/>
  <c r="AE7" i="12" s="1"/>
  <c r="E49" i="14"/>
  <c r="AG13" i="12" s="1"/>
  <c r="D38" i="14"/>
  <c r="E38" i="14" s="1"/>
  <c r="AF14" i="12" s="1"/>
  <c r="D45" i="14"/>
  <c r="E45" i="14" s="1"/>
  <c r="AG9" i="12" s="1"/>
  <c r="D11" i="14"/>
  <c r="E11" i="14" s="1"/>
  <c r="AD11" i="12" s="1"/>
  <c r="D74" i="14"/>
  <c r="E74" i="14" s="1"/>
  <c r="AI14" i="12" s="1"/>
  <c r="D64" i="14"/>
  <c r="E64" i="14" s="1"/>
  <c r="AI4" i="12" s="1"/>
  <c r="D58" i="14"/>
  <c r="E58" i="14" s="1"/>
  <c r="AH10" i="12" s="1"/>
  <c r="D70" i="14"/>
  <c r="E70" i="14" s="1"/>
  <c r="AI10" i="12" s="1"/>
  <c r="D32" i="14"/>
  <c r="E32" i="14" s="1"/>
  <c r="AF8" i="12" s="1"/>
  <c r="D24" i="14"/>
  <c r="E24" i="14" s="1"/>
  <c r="AE12" i="12" s="1"/>
  <c r="E52" i="14"/>
  <c r="AH4" i="12" s="1"/>
  <c r="D3" i="14"/>
  <c r="E3" i="14" s="1"/>
  <c r="AD3" i="12" s="1"/>
  <c r="D62" i="14"/>
  <c r="E62" i="14" s="1"/>
  <c r="AH14" i="12" s="1"/>
  <c r="E50" i="14"/>
  <c r="AG14" i="12" s="1"/>
  <c r="D12" i="14"/>
  <c r="E12" i="14" s="1"/>
  <c r="AD12" i="12" s="1"/>
  <c r="D59" i="14"/>
  <c r="E59" i="14" s="1"/>
  <c r="AH11" i="12" s="1"/>
  <c r="D54" i="14"/>
  <c r="E54" i="14" s="1"/>
  <c r="AH6" i="12" s="1"/>
  <c r="D28" i="14"/>
  <c r="E28" i="14" s="1"/>
  <c r="AF4" i="12" s="1"/>
  <c r="D34" i="14"/>
  <c r="E34" i="14" s="1"/>
  <c r="AF10" i="12" s="1"/>
  <c r="L41" i="12"/>
  <c r="C40" i="12" s="1"/>
  <c r="M41" i="12"/>
  <c r="E15" i="14" l="1"/>
  <c r="AE3" i="12" s="1"/>
  <c r="D15" i="14"/>
  <c r="D31" i="14"/>
  <c r="E31" i="14" s="1"/>
  <c r="AF7" i="12" s="1"/>
  <c r="D36" i="14"/>
  <c r="E36" i="14" s="1"/>
  <c r="AF12" i="12" s="1"/>
  <c r="E8" i="14"/>
  <c r="AD8" i="12" s="1"/>
  <c r="D8" i="14"/>
  <c r="D6" i="14"/>
  <c r="E6" i="14" s="1"/>
  <c r="AD6" i="12" s="1"/>
  <c r="E4" i="14"/>
  <c r="AD4" i="12" s="1"/>
  <c r="D4" i="14"/>
  <c r="D37" i="14"/>
  <c r="E37" i="14" s="1"/>
  <c r="AF13" i="12" s="1"/>
  <c r="E25" i="14"/>
  <c r="AE13" i="12" s="1"/>
  <c r="D25" i="14"/>
  <c r="D16" i="14"/>
  <c r="E16" i="14" s="1"/>
  <c r="AE4" i="12" s="1"/>
  <c r="D27" i="14"/>
  <c r="E27" i="14" s="1"/>
  <c r="AF3" i="12" s="1"/>
  <c r="E9" i="14"/>
  <c r="AD9" i="12" s="1"/>
  <c r="D9" i="14"/>
  <c r="D13" i="14"/>
  <c r="E13" i="14" s="1"/>
  <c r="AD13" i="12" s="1"/>
  <c r="D22" i="14"/>
  <c r="E22" i="14" s="1"/>
  <c r="AE10" i="12" s="1"/>
  <c r="D30" i="14"/>
  <c r="E30" i="14" s="1"/>
  <c r="AF6" i="12" s="1"/>
  <c r="D33" i="14"/>
  <c r="E33" i="14" s="1"/>
  <c r="AF9" i="12" s="1"/>
  <c r="D21" i="14"/>
  <c r="E21" i="14"/>
  <c r="AE9" i="12" s="1"/>
  <c r="D26" i="14"/>
  <c r="E26" i="14" s="1"/>
  <c r="AE14" i="12" s="1"/>
  <c r="D17" i="14"/>
  <c r="E17" i="14" s="1"/>
  <c r="AE5" i="12" s="1"/>
  <c r="D5" i="14"/>
  <c r="E5" i="14" s="1"/>
  <c r="AD5" i="12" s="1"/>
  <c r="D18" i="14"/>
  <c r="E18" i="14" s="1"/>
  <c r="AE6" i="12" s="1"/>
  <c r="D14" i="14"/>
  <c r="E14" i="14" s="1"/>
  <c r="AD14" i="12" s="1"/>
  <c r="E20" i="14"/>
  <c r="AE8" i="12" s="1"/>
  <c r="D20" i="14"/>
  <c r="E10" i="14"/>
  <c r="AD10" i="12" s="1"/>
  <c r="D10" i="14"/>
  <c r="D29" i="14"/>
  <c r="E29" i="14" s="1"/>
  <c r="AF5" i="12" s="1"/>
  <c r="D35" i="14"/>
  <c r="E35" i="14" s="1"/>
  <c r="AF11" i="12" s="1"/>
  <c r="D23" i="14"/>
  <c r="E23" i="14" s="1"/>
  <c r="AE11" i="12" s="1"/>
  <c r="D68" i="14"/>
  <c r="E68" i="14"/>
  <c r="AI8" i="12" s="1"/>
  <c r="E56" i="14"/>
  <c r="AH8" i="12" s="1"/>
  <c r="D56" i="14"/>
  <c r="D41" i="14"/>
  <c r="E41" i="14" s="1"/>
  <c r="AG5" i="12" s="1"/>
  <c r="E39" i="14"/>
  <c r="AG3" i="12" s="1"/>
  <c r="D39" i="14"/>
  <c r="E46" i="14"/>
  <c r="AG10" i="12" s="1"/>
  <c r="D44" i="14"/>
  <c r="E44" i="14" s="1"/>
  <c r="AG8" i="12" s="1"/>
  <c r="D55" i="14"/>
  <c r="E55" i="14"/>
  <c r="AH7" i="12" s="1"/>
  <c r="D60" i="14"/>
  <c r="E60" i="14" s="1"/>
  <c r="AH12" i="12" s="1"/>
  <c r="E51" i="14"/>
  <c r="AH3" i="12" s="1"/>
  <c r="E48" i="14"/>
  <c r="AG12" i="12" s="1"/>
  <c r="E65" i="14"/>
  <c r="AI5" i="12" s="1"/>
  <c r="D65" i="14"/>
  <c r="D73" i="14"/>
  <c r="E73" i="14" s="1"/>
  <c r="AI13" i="12" s="1"/>
  <c r="D66" i="14"/>
  <c r="E66" i="14"/>
  <c r="AI6" i="12" s="1"/>
  <c r="D72" i="14"/>
  <c r="E72" i="14" s="1"/>
  <c r="AI12" i="12" s="1"/>
  <c r="D63" i="14"/>
  <c r="E63" i="14"/>
  <c r="AI3" i="12" s="1"/>
  <c r="D40" i="14"/>
  <c r="E40" i="14" s="1"/>
  <c r="AG4" i="12" s="1"/>
  <c r="E47" i="14"/>
  <c r="AG11" i="12" s="1"/>
  <c r="E69" i="14"/>
  <c r="AI9" i="12" s="1"/>
  <c r="D69" i="14"/>
  <c r="D57" i="14"/>
  <c r="E57" i="14" s="1"/>
  <c r="AH9" i="12" s="1"/>
  <c r="E43" i="14"/>
  <c r="AG7" i="12" s="1"/>
  <c r="D43" i="14"/>
  <c r="D67" i="14"/>
  <c r="E67" i="14"/>
  <c r="AI7" i="12" s="1"/>
  <c r="E71" i="14"/>
  <c r="AI11" i="12" s="1"/>
  <c r="D71" i="14"/>
  <c r="D53" i="14"/>
  <c r="E53" i="14" s="1"/>
  <c r="AH5" i="12" s="1"/>
  <c r="AI21" i="12"/>
  <c r="AH21" i="12" s="1"/>
  <c r="AI20" i="12"/>
  <c r="AH20" i="12" s="1"/>
  <c r="AG22" i="12"/>
  <c r="AI23" i="12"/>
  <c r="AH23" i="12" s="1"/>
  <c r="AG19" i="12"/>
  <c r="AG23" i="12"/>
  <c r="AI22" i="12"/>
  <c r="AH22" i="12" s="1"/>
  <c r="AI18" i="12"/>
  <c r="AH18" i="12" s="1"/>
  <c r="AG21" i="12"/>
  <c r="AI19" i="12"/>
  <c r="AH19" i="12" s="1"/>
  <c r="AG20" i="12"/>
  <c r="AG18" i="12" l="1"/>
  <c r="AC24" i="12"/>
</calcChain>
</file>

<file path=xl/comments1.xml><?xml version="1.0" encoding="utf-8"?>
<comments xmlns="http://schemas.openxmlformats.org/spreadsheetml/2006/main">
  <authors>
    <author>Katrin Lorenz-Baath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Katrin Lorenz-Baath: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<sst xmlns="http://schemas.openxmlformats.org/spreadsheetml/2006/main" count="259" uniqueCount="115">
  <si>
    <t>Endzeit</t>
  </si>
  <si>
    <t>Dämmerungzeit</t>
  </si>
  <si>
    <t>Start Farsta</t>
  </si>
  <si>
    <t xml:space="preserve">Short Easy </t>
  </si>
  <si>
    <t>Short Difficult</t>
  </si>
  <si>
    <t>Long Easy</t>
  </si>
  <si>
    <t>Long Difficult</t>
  </si>
  <si>
    <t>Short Twilight</t>
  </si>
  <si>
    <t>Long Twilight</t>
  </si>
  <si>
    <t>Short Easy Night</t>
  </si>
  <si>
    <t>Short Difficult Night</t>
  </si>
  <si>
    <t>Long Easy Night</t>
  </si>
  <si>
    <t>Long Difficult Night</t>
  </si>
  <si>
    <t>Final Farsta</t>
  </si>
  <si>
    <t>SF</t>
  </si>
  <si>
    <t>SE</t>
  </si>
  <si>
    <t>SD</t>
  </si>
  <si>
    <t>LE</t>
  </si>
  <si>
    <t>LD</t>
  </si>
  <si>
    <t>ST</t>
  </si>
  <si>
    <t>LT</t>
  </si>
  <si>
    <t>SEN</t>
  </si>
  <si>
    <t>SDN</t>
  </si>
  <si>
    <t>LEN</t>
  </si>
  <si>
    <t>LDN</t>
  </si>
  <si>
    <t>FF</t>
  </si>
  <si>
    <t>Min h</t>
  </si>
  <si>
    <t>Max h</t>
  </si>
  <si>
    <t>A</t>
  </si>
  <si>
    <t>Ehrl, Lionel</t>
  </si>
  <si>
    <t>B</t>
  </si>
  <si>
    <t>Lexen, Gert</t>
  </si>
  <si>
    <t>C</t>
  </si>
  <si>
    <t>Baath, Veikko</t>
  </si>
  <si>
    <t>D</t>
  </si>
  <si>
    <t>E</t>
  </si>
  <si>
    <t>Lorenz-Baath, Katrin</t>
  </si>
  <si>
    <t>F</t>
  </si>
  <si>
    <t>EL</t>
  </si>
  <si>
    <t>LG</t>
  </si>
  <si>
    <t>BV</t>
  </si>
  <si>
    <t>#</t>
  </si>
  <si>
    <t>Type</t>
  </si>
  <si>
    <t>Läufer</t>
  </si>
  <si>
    <t>Bahn</t>
  </si>
  <si>
    <t>Schwierigkeit</t>
  </si>
  <si>
    <t>Differenz</t>
  </si>
  <si>
    <t>Code</t>
  </si>
  <si>
    <t>Start</t>
  </si>
  <si>
    <t>Laufzeit</t>
  </si>
  <si>
    <t>Actual</t>
  </si>
  <si>
    <t>Faktor</t>
  </si>
  <si>
    <t>Startzeit</t>
  </si>
  <si>
    <t>Lauf</t>
  </si>
  <si>
    <t>Dämmerung</t>
  </si>
  <si>
    <t>Pause</t>
  </si>
  <si>
    <t>Km</t>
  </si>
  <si>
    <t>Hm</t>
  </si>
  <si>
    <t>ClimbFaktor</t>
  </si>
  <si>
    <t>Run</t>
  </si>
  <si>
    <t>LKm</t>
  </si>
  <si>
    <t>Müde</t>
  </si>
  <si>
    <t>Total</t>
  </si>
  <si>
    <t>BahnKz</t>
  </si>
  <si>
    <t>Kz</t>
  </si>
  <si>
    <t>Faktoren</t>
  </si>
  <si>
    <t>Zeiten</t>
  </si>
  <si>
    <t>IST-Werte</t>
  </si>
  <si>
    <t>Normiert</t>
  </si>
  <si>
    <t>Runs</t>
  </si>
  <si>
    <t>BK</t>
  </si>
  <si>
    <t>used</t>
  </si>
  <si>
    <t>Lmax</t>
  </si>
  <si>
    <t>Lmin</t>
  </si>
  <si>
    <t>Scheler, Thomas</t>
  </si>
  <si>
    <t>Scheler, Johanna</t>
  </si>
  <si>
    <t>SJ</t>
  </si>
  <si>
    <t>Historical 2011</t>
  </si>
  <si>
    <t>Uhrzeit</t>
  </si>
  <si>
    <t>Dauer</t>
  </si>
  <si>
    <t>Licht-Faktor</t>
  </si>
  <si>
    <t>Historical 2009</t>
  </si>
  <si>
    <t>Sollzeiten ohne Faktoren</t>
  </si>
  <si>
    <t>Zeit-Parameter</t>
  </si>
  <si>
    <t>Leistungskilometer-Faktor</t>
  </si>
  <si>
    <t>Bahnen-Faktor</t>
  </si>
  <si>
    <t>Ermüdungsgeschw.</t>
  </si>
  <si>
    <t>Ermüdungs-Faktor</t>
  </si>
  <si>
    <t>Position</t>
  </si>
  <si>
    <t>Kürzel</t>
  </si>
  <si>
    <t>Name</t>
  </si>
  <si>
    <t>Teilnehmer</t>
  </si>
  <si>
    <t>NumPos</t>
  </si>
  <si>
    <t>Pace</t>
  </si>
  <si>
    <t>N Pace</t>
  </si>
  <si>
    <t>Licht</t>
  </si>
  <si>
    <t>ExponentBasis</t>
  </si>
  <si>
    <t>Dämmerungszeit</t>
  </si>
  <si>
    <t>Zielzeit</t>
  </si>
  <si>
    <t>Bahn-Läufer</t>
  </si>
  <si>
    <t>Anzahl</t>
  </si>
  <si>
    <t>Pace min / LKm</t>
  </si>
  <si>
    <t>SOLL</t>
  </si>
  <si>
    <t>IST</t>
  </si>
  <si>
    <t>Zeit</t>
  </si>
  <si>
    <t>durchschn. Laufzeit/Bahn</t>
  </si>
  <si>
    <t>Ges.-Diff.</t>
  </si>
  <si>
    <t>Pace-Diff.</t>
  </si>
  <si>
    <t>Ist</t>
  </si>
  <si>
    <t>Basis</t>
  </si>
  <si>
    <t>Ermüdungsfaktor = (24h + (Lauf # - 1) * Erm_Geschw * ExponentBasis^(Lauf # - 1) ) / 24h</t>
  </si>
  <si>
    <t>LBK</t>
  </si>
  <si>
    <t>Durchschn.-Zeit</t>
  </si>
  <si>
    <t>Summe</t>
  </si>
  <si>
    <t>SVerweis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</si>
</sst>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[h]:mm:ss;@"/>
    <numFmt numFmtId="166" formatCode="[m]:ss;@"/>
    <numFmt numFmtId="167" formatCode="[$-F400]h:mm:ss\ AM/PM"/>
    <numFmt numFmtId="168" formatCode="h:mm:ss;@"/>
    <numFmt numFmtId="169" formatCode="[m]:ss;&quot;-&quot;\ [m]:ss;&quot;-&quot;\ [m]:ss;@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5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 applyAlignment="1">
      <alignment wrapText="1"/>
    </xf>
    <xf numFmtId="0" fontId="0" fillId="2" borderId="0" xfId="0" applyFill="1"/>
    <xf numFmtId="21" fontId="3" fillId="2" borderId="1" xfId="0" applyNumberFormat="1" applyFont="1" applyFill="1" applyBorder="1" applyAlignment="1">
      <alignment wrapText="1"/>
    </xf>
    <xf numFmtId="0" fontId="0" fillId="0" borderId="1" xfId="0" applyFill="1" applyBorder="1"/>
    <xf numFmtId="2" fontId="0" fillId="2" borderId="1" xfId="0" applyNumberFormat="1" applyFill="1" applyBorder="1"/>
    <xf numFmtId="0" fontId="0" fillId="0" borderId="0" xfId="0" applyBorder="1"/>
    <xf numFmtId="0" fontId="2" fillId="0" borderId="0" xfId="0" applyFont="1"/>
    <xf numFmtId="0" fontId="2" fillId="0" borderId="1" xfId="0" applyFont="1" applyFill="1" applyBorder="1"/>
    <xf numFmtId="0" fontId="2" fillId="4" borderId="1" xfId="0" applyFont="1" applyFill="1" applyBorder="1"/>
    <xf numFmtId="0" fontId="3" fillId="4" borderId="1" xfId="0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2" fillId="2" borderId="8" xfId="0" applyFont="1" applyFill="1" applyBorder="1"/>
    <xf numFmtId="0" fontId="0" fillId="0" borderId="9" xfId="0" applyBorder="1"/>
    <xf numFmtId="21" fontId="0" fillId="2" borderId="8" xfId="0" applyNumberFormat="1" applyFill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3" fillId="2" borderId="8" xfId="0" applyFont="1" applyFill="1" applyBorder="1"/>
    <xf numFmtId="0" fontId="0" fillId="0" borderId="11" xfId="0" applyNumberFormat="1" applyBorder="1"/>
    <xf numFmtId="0" fontId="0" fillId="0" borderId="12" xfId="0" applyNumberFormat="1" applyBorder="1"/>
    <xf numFmtId="0" fontId="2" fillId="0" borderId="10" xfId="0" applyFont="1" applyFill="1" applyBorder="1"/>
    <xf numFmtId="21" fontId="3" fillId="0" borderId="1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0" fillId="0" borderId="1" xfId="1" applyNumberFormat="1" applyFont="1" applyBorder="1"/>
    <xf numFmtId="0" fontId="3" fillId="0" borderId="1" xfId="1" applyNumberFormat="1" applyFont="1" applyBorder="1"/>
    <xf numFmtId="0" fontId="3" fillId="0" borderId="0" xfId="0" applyFont="1" applyBorder="1" applyAlignment="1"/>
    <xf numFmtId="0" fontId="3" fillId="0" borderId="13" xfId="0" applyFont="1" applyBorder="1" applyAlignment="1"/>
    <xf numFmtId="0" fontId="2" fillId="0" borderId="13" xfId="0" applyFont="1" applyBorder="1" applyAlignment="1">
      <alignment horizontal="center"/>
    </xf>
    <xf numFmtId="2" fontId="0" fillId="6" borderId="1" xfId="0" applyNumberFormat="1" applyFill="1" applyBorder="1"/>
    <xf numFmtId="2" fontId="0" fillId="6" borderId="14" xfId="0" applyNumberFormat="1" applyFill="1" applyBorder="1"/>
    <xf numFmtId="21" fontId="0" fillId="6" borderId="1" xfId="0" applyNumberFormat="1" applyFill="1" applyBorder="1" applyAlignment="1">
      <alignment wrapText="1"/>
    </xf>
    <xf numFmtId="0" fontId="0" fillId="6" borderId="1" xfId="0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0" fillId="8" borderId="1" xfId="0" applyFill="1" applyBorder="1" applyAlignment="1">
      <alignment wrapText="1"/>
    </xf>
    <xf numFmtId="0" fontId="0" fillId="8" borderId="1" xfId="0" applyFill="1" applyBorder="1" applyAlignment="1">
      <alignment horizontal="center" wrapText="1"/>
    </xf>
    <xf numFmtId="0" fontId="3" fillId="8" borderId="1" xfId="0" applyFont="1" applyFill="1" applyBorder="1" applyAlignment="1">
      <alignment wrapText="1"/>
    </xf>
    <xf numFmtId="0" fontId="0" fillId="8" borderId="1" xfId="0" applyFill="1" applyBorder="1"/>
    <xf numFmtId="21" fontId="3" fillId="8" borderId="1" xfId="0" applyNumberFormat="1" applyFont="1" applyFill="1" applyBorder="1" applyAlignment="1">
      <alignment wrapText="1"/>
    </xf>
    <xf numFmtId="0" fontId="0" fillId="8" borderId="14" xfId="0" applyFill="1" applyBorder="1"/>
    <xf numFmtId="0" fontId="6" fillId="0" borderId="1" xfId="0" applyFont="1" applyFill="1" applyBorder="1" applyAlignment="1">
      <alignment horizontal="center"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vertical="center"/>
    </xf>
    <xf numFmtId="167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horizontal="center" vertical="center"/>
    </xf>
    <xf numFmtId="169" fontId="2" fillId="0" borderId="1" xfId="0" applyNumberFormat="1" applyFont="1" applyFill="1" applyBorder="1" applyAlignment="1">
      <alignment horizontal="right" vertical="center"/>
    </xf>
    <xf numFmtId="168" fontId="2" fillId="0" borderId="1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21" fontId="2" fillId="3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166" fontId="0" fillId="0" borderId="1" xfId="0" applyNumberFormat="1" applyFill="1" applyBorder="1" applyAlignment="1">
      <alignment horizontal="center" vertical="center" wrapText="1"/>
    </xf>
    <xf numFmtId="169" fontId="0" fillId="0" borderId="1" xfId="0" applyNumberFormat="1" applyFill="1" applyBorder="1" applyAlignment="1">
      <alignment horizontal="right" vertical="center" wrapText="1"/>
    </xf>
    <xf numFmtId="165" fontId="0" fillId="3" borderId="1" xfId="0" applyNumberFormat="1" applyFill="1" applyBorder="1" applyAlignment="1">
      <alignment vertical="center" wrapText="1"/>
    </xf>
    <xf numFmtId="1" fontId="0" fillId="3" borderId="1" xfId="0" applyNumberFormat="1" applyFill="1" applyBorder="1" applyAlignment="1">
      <alignment vertical="center" wrapText="1"/>
    </xf>
    <xf numFmtId="165" fontId="0" fillId="0" borderId="0" xfId="0" applyNumberFormat="1" applyFill="1" applyAlignment="1">
      <alignment vertical="center" wrapText="1"/>
    </xf>
    <xf numFmtId="21" fontId="3" fillId="0" borderId="0" xfId="0" applyNumberFormat="1" applyFont="1" applyFill="1" applyBorder="1" applyAlignment="1">
      <alignment vertical="center" wrapText="1"/>
    </xf>
    <xf numFmtId="21" fontId="0" fillId="0" borderId="0" xfId="0" applyNumberFormat="1" applyAlignment="1">
      <alignment vertical="center"/>
    </xf>
    <xf numFmtId="165" fontId="0" fillId="0" borderId="0" xfId="0" applyNumberFormat="1" applyFill="1" applyAlignment="1">
      <alignment vertical="center"/>
    </xf>
    <xf numFmtId="168" fontId="0" fillId="0" borderId="1" xfId="0" applyNumberForma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2" fontId="0" fillId="0" borderId="0" xfId="0" applyNumberFormat="1" applyFill="1" applyAlignment="1">
      <alignment vertical="center"/>
    </xf>
    <xf numFmtId="167" fontId="0" fillId="0" borderId="0" xfId="0" applyNumberFormat="1" applyFill="1" applyAlignment="1">
      <alignment vertical="center"/>
    </xf>
    <xf numFmtId="166" fontId="0" fillId="0" borderId="0" xfId="0" applyNumberFormat="1" applyFill="1" applyAlignment="1">
      <alignment horizontal="center" vertical="center"/>
    </xf>
    <xf numFmtId="169" fontId="0" fillId="0" borderId="0" xfId="0" applyNumberFormat="1" applyFill="1" applyAlignment="1">
      <alignment horizontal="right" vertical="center"/>
    </xf>
    <xf numFmtId="168" fontId="0" fillId="0" borderId="0" xfId="0" applyNumberFormat="1" applyFill="1" applyAlignment="1">
      <alignment vertical="center"/>
    </xf>
    <xf numFmtId="1" fontId="0" fillId="0" borderId="0" xfId="0" applyNumberFormat="1" applyFill="1" applyAlignment="1">
      <alignment vertical="center"/>
    </xf>
    <xf numFmtId="167" fontId="3" fillId="0" borderId="1" xfId="0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 wrapText="1"/>
    </xf>
    <xf numFmtId="165" fontId="0" fillId="2" borderId="1" xfId="0" applyNumberFormat="1" applyFill="1" applyBorder="1" applyAlignment="1">
      <alignment wrapText="1"/>
    </xf>
    <xf numFmtId="166" fontId="0" fillId="8" borderId="1" xfId="0" applyNumberFormat="1" applyFill="1" applyBorder="1" applyAlignment="1">
      <alignment wrapText="1"/>
    </xf>
    <xf numFmtId="0" fontId="2" fillId="2" borderId="0" xfId="0" applyFont="1" applyFill="1"/>
    <xf numFmtId="0" fontId="2" fillId="2" borderId="0" xfId="0" applyNumberFormat="1" applyFont="1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0" borderId="0" xfId="0" applyNumberFormat="1" applyAlignment="1">
      <alignment horizontal="center"/>
    </xf>
    <xf numFmtId="0" fontId="0" fillId="9" borderId="0" xfId="0" applyFill="1"/>
    <xf numFmtId="0" fontId="5" fillId="9" borderId="0" xfId="0" applyFont="1" applyFill="1"/>
    <xf numFmtId="165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/>
    <xf numFmtId="165" fontId="0" fillId="2" borderId="0" xfId="0" applyNumberFormat="1" applyFill="1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2" fillId="7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 wrapText="1"/>
    </xf>
    <xf numFmtId="165" fontId="3" fillId="7" borderId="1" xfId="0" applyNumberFormat="1" applyFont="1" applyFill="1" applyBorder="1" applyAlignment="1">
      <alignment vertical="center" wrapText="1"/>
    </xf>
    <xf numFmtId="0" fontId="2" fillId="7" borderId="1" xfId="0" quotePrefix="1" applyFont="1" applyFill="1" applyBorder="1" applyAlignment="1">
      <alignment vertical="center"/>
    </xf>
    <xf numFmtId="21" fontId="3" fillId="7" borderId="1" xfId="0" applyNumberFormat="1" applyFont="1" applyFill="1" applyBorder="1" applyAlignment="1">
      <alignment vertical="center" wrapText="1"/>
    </xf>
    <xf numFmtId="2" fontId="3" fillId="7" borderId="1" xfId="0" applyNumberFormat="1" applyFont="1" applyFill="1" applyBorder="1" applyAlignment="1">
      <alignment vertical="center" wrapText="1"/>
    </xf>
    <xf numFmtId="166" fontId="3" fillId="7" borderId="1" xfId="0" applyNumberFormat="1" applyFont="1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/>
    </xf>
    <xf numFmtId="46" fontId="2" fillId="7" borderId="1" xfId="0" applyNumberFormat="1" applyFont="1" applyFill="1" applyBorder="1" applyAlignment="1">
      <alignment vertical="center"/>
    </xf>
    <xf numFmtId="165" fontId="3" fillId="7" borderId="8" xfId="0" applyNumberFormat="1" applyFont="1" applyFill="1" applyBorder="1" applyAlignment="1">
      <alignment vertical="center" wrapText="1"/>
    </xf>
    <xf numFmtId="165" fontId="3" fillId="7" borderId="14" xfId="0" applyNumberFormat="1" applyFont="1" applyFill="1" applyBorder="1" applyAlignment="1">
      <alignment vertical="center" wrapText="1"/>
    </xf>
    <xf numFmtId="165" fontId="3" fillId="7" borderId="15" xfId="0" applyNumberFormat="1" applyFont="1" applyFill="1" applyBorder="1" applyAlignment="1">
      <alignment vertical="center" wrapText="1"/>
    </xf>
    <xf numFmtId="165" fontId="3" fillId="7" borderId="16" xfId="0" applyNumberFormat="1" applyFont="1" applyFill="1" applyBorder="1" applyAlignment="1">
      <alignment vertical="center" wrapText="1"/>
    </xf>
    <xf numFmtId="165" fontId="3" fillId="7" borderId="17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vertical="center" wrapText="1"/>
    </xf>
    <xf numFmtId="2" fontId="0" fillId="0" borderId="0" xfId="0" applyNumberFormat="1" applyFill="1" applyBorder="1" applyAlignment="1">
      <alignment vertical="center"/>
    </xf>
    <xf numFmtId="167" fontId="0" fillId="0" borderId="0" xfId="0" applyNumberFormat="1" applyFill="1" applyBorder="1" applyAlignment="1">
      <alignment vertical="center" wrapText="1"/>
    </xf>
    <xf numFmtId="165" fontId="3" fillId="0" borderId="0" xfId="0" applyNumberFormat="1" applyFont="1" applyFill="1" applyBorder="1" applyAlignment="1">
      <alignment vertical="center"/>
    </xf>
    <xf numFmtId="166" fontId="0" fillId="0" borderId="0" xfId="0" applyNumberFormat="1" applyFill="1" applyBorder="1" applyAlignment="1">
      <alignment horizontal="center" vertical="center" wrapText="1"/>
    </xf>
    <xf numFmtId="169" fontId="0" fillId="0" borderId="0" xfId="0" applyNumberFormat="1" applyFill="1" applyBorder="1" applyAlignment="1">
      <alignment horizontal="right" vertical="center" wrapText="1"/>
    </xf>
    <xf numFmtId="168" fontId="0" fillId="0" borderId="0" xfId="0" applyNumberForma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vertical="center" wrapText="1"/>
    </xf>
    <xf numFmtId="169" fontId="6" fillId="0" borderId="1" xfId="0" applyNumberFormat="1" applyFont="1" applyFill="1" applyBorder="1" applyAlignment="1">
      <alignment horizontal="right" vertical="center"/>
    </xf>
    <xf numFmtId="168" fontId="6" fillId="0" borderId="1" xfId="0" applyNumberFormat="1" applyFont="1" applyFill="1" applyBorder="1" applyAlignment="1">
      <alignment horizontal="center" vertical="center"/>
    </xf>
    <xf numFmtId="164" fontId="0" fillId="8" borderId="1" xfId="0" applyNumberFormat="1" applyFill="1" applyBorder="1"/>
    <xf numFmtId="0" fontId="2" fillId="7" borderId="21" xfId="0" applyFont="1" applyFill="1" applyBorder="1" applyAlignment="1">
      <alignment vertical="center"/>
    </xf>
    <xf numFmtId="0" fontId="2" fillId="7" borderId="19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3" fillId="8" borderId="1" xfId="0" applyFont="1" applyFill="1" applyBorder="1" applyAlignment="1">
      <alignment horizontal="center" wrapText="1"/>
    </xf>
    <xf numFmtId="2" fontId="0" fillId="8" borderId="1" xfId="1" applyNumberFormat="1" applyFont="1" applyFill="1" applyBorder="1"/>
    <xf numFmtId="2" fontId="0" fillId="8" borderId="14" xfId="1" applyNumberFormat="1" applyFont="1" applyFill="1" applyBorder="1"/>
    <xf numFmtId="2" fontId="3" fillId="8" borderId="1" xfId="1" applyNumberFormat="1" applyFont="1" applyFill="1" applyBorder="1"/>
    <xf numFmtId="2" fontId="3" fillId="8" borderId="14" xfId="1" applyNumberFormat="1" applyFont="1" applyFill="1" applyBorder="1"/>
    <xf numFmtId="0" fontId="3" fillId="8" borderId="1" xfId="0" applyFont="1" applyFill="1" applyBorder="1"/>
    <xf numFmtId="2" fontId="0" fillId="3" borderId="1" xfId="0" applyNumberFormat="1" applyFill="1" applyBorder="1" applyAlignment="1">
      <alignment vertical="center" wrapText="1"/>
    </xf>
    <xf numFmtId="1" fontId="3" fillId="7" borderId="1" xfId="0" applyNumberFormat="1" applyFont="1" applyFill="1" applyBorder="1" applyAlignment="1">
      <alignment vertical="center" wrapText="1"/>
    </xf>
    <xf numFmtId="165" fontId="3" fillId="7" borderId="22" xfId="0" applyNumberFormat="1" applyFont="1" applyFill="1" applyBorder="1" applyAlignment="1">
      <alignment vertical="center" wrapText="1"/>
    </xf>
    <xf numFmtId="165" fontId="3" fillId="7" borderId="21" xfId="0" applyNumberFormat="1" applyFont="1" applyFill="1" applyBorder="1" applyAlignment="1">
      <alignment vertical="center" wrapText="1"/>
    </xf>
    <xf numFmtId="165" fontId="3" fillId="7" borderId="23" xfId="0" applyNumberFormat="1" applyFont="1" applyFill="1" applyBorder="1" applyAlignment="1">
      <alignment vertical="center" wrapText="1"/>
    </xf>
    <xf numFmtId="0" fontId="2" fillId="7" borderId="24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6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left" vertical="center" wrapText="1"/>
    </xf>
    <xf numFmtId="0" fontId="2" fillId="7" borderId="4" xfId="0" applyFont="1" applyFill="1" applyBorder="1" applyAlignment="1">
      <alignment horizontal="left" vertical="center" wrapText="1"/>
    </xf>
    <xf numFmtId="0" fontId="2" fillId="7" borderId="2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left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9" borderId="0" xfId="0" applyNumberFormat="1" applyFont="1" applyFill="1" applyAlignment="1">
      <alignment horizontal="center"/>
    </xf>
  </cellXfs>
  <cellStyles count="2">
    <cellStyle name="Prozent" xfId="1" builtinId="5"/>
    <cellStyle name="Standard" xfId="0" builtinId="0"/>
  </cellStyles>
  <dxfs count="19">
    <dxf>
      <fill>
        <patternFill>
          <bgColor indexed="47"/>
        </patternFill>
      </fill>
    </dxf>
    <dxf>
      <fill>
        <patternFill>
          <bgColor indexed="50"/>
        </patternFill>
      </fill>
    </dxf>
    <dxf>
      <fill>
        <patternFill>
          <bgColor indexed="51"/>
        </patternFill>
      </fill>
    </dxf>
    <dxf>
      <fill>
        <patternFill>
          <bgColor indexed="47"/>
        </patternFill>
      </fill>
    </dxf>
    <dxf>
      <fill>
        <patternFill>
          <bgColor rgb="FFFE8CF6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rgb="FFFE8CF6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rgb="FFFE8CF6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rgb="FFFE8CF6"/>
        </patternFill>
      </fill>
    </dxf>
    <dxf>
      <fill>
        <patternFill>
          <bgColor rgb="FFFE8CF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E8CF6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colors>
    <mruColors>
      <color rgb="FF99FF99"/>
      <color rgb="FFFE8C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030183727034119E-2"/>
          <c:y val="2.8252405949256341E-2"/>
          <c:w val="0.79874715660542439"/>
          <c:h val="0.8326195683872849"/>
        </c:manualLayout>
      </c:layout>
      <c:lineChart>
        <c:grouping val="standard"/>
        <c:varyColors val="0"/>
        <c:ser>
          <c:idx val="0"/>
          <c:order val="0"/>
          <c:tx>
            <c:strRef>
              <c:f>Parameters!$D$13</c:f>
              <c:strCache>
                <c:ptCount val="1"/>
                <c:pt idx="0">
                  <c:v>EL</c:v>
                </c:pt>
              </c:strCache>
            </c:strRef>
          </c:tx>
          <c:cat>
            <c:strRef>
              <c:f>Parameters!$B$14:$B$25</c:f>
              <c:strCache>
                <c:ptCount val="12"/>
                <c:pt idx="0">
                  <c:v>SF</c:v>
                </c:pt>
                <c:pt idx="1">
                  <c:v>SE</c:v>
                </c:pt>
                <c:pt idx="2">
                  <c:v>SD</c:v>
                </c:pt>
                <c:pt idx="3">
                  <c:v>LE</c:v>
                </c:pt>
                <c:pt idx="4">
                  <c:v>LD</c:v>
                </c:pt>
                <c:pt idx="5">
                  <c:v>ST</c:v>
                </c:pt>
                <c:pt idx="6">
                  <c:v>LT</c:v>
                </c:pt>
                <c:pt idx="7">
                  <c:v>SEN</c:v>
                </c:pt>
                <c:pt idx="8">
                  <c:v>SDN</c:v>
                </c:pt>
                <c:pt idx="9">
                  <c:v>LEN</c:v>
                </c:pt>
                <c:pt idx="10">
                  <c:v>LDN</c:v>
                </c:pt>
                <c:pt idx="11">
                  <c:v>FF</c:v>
                </c:pt>
              </c:strCache>
            </c:strRef>
          </c:cat>
          <c:val>
            <c:numRef>
              <c:f>Parameters!$D$14:$D$25</c:f>
              <c:numCache>
                <c:formatCode>0.00</c:formatCode>
                <c:ptCount val="12"/>
                <c:pt idx="0">
                  <c:v>1</c:v>
                </c:pt>
                <c:pt idx="1">
                  <c:v>0.8</c:v>
                </c:pt>
                <c:pt idx="2">
                  <c:v>1</c:v>
                </c:pt>
                <c:pt idx="3">
                  <c:v>1</c:v>
                </c:pt>
                <c:pt idx="4">
                  <c:v>1.05</c:v>
                </c:pt>
                <c:pt idx="5">
                  <c:v>0.8</c:v>
                </c:pt>
                <c:pt idx="6">
                  <c:v>0.9</c:v>
                </c:pt>
                <c:pt idx="7">
                  <c:v>0.9</c:v>
                </c:pt>
                <c:pt idx="8">
                  <c:v>1</c:v>
                </c:pt>
                <c:pt idx="9">
                  <c:v>1</c:v>
                </c:pt>
                <c:pt idx="10">
                  <c:v>1.05</c:v>
                </c:pt>
                <c:pt idx="11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Parameters!$E$13</c:f>
              <c:strCache>
                <c:ptCount val="1"/>
                <c:pt idx="0">
                  <c:v>ST</c:v>
                </c:pt>
              </c:strCache>
            </c:strRef>
          </c:tx>
          <c:cat>
            <c:strRef>
              <c:f>Parameters!$B$14:$B$25</c:f>
              <c:strCache>
                <c:ptCount val="12"/>
                <c:pt idx="0">
                  <c:v>SF</c:v>
                </c:pt>
                <c:pt idx="1">
                  <c:v>SE</c:v>
                </c:pt>
                <c:pt idx="2">
                  <c:v>SD</c:v>
                </c:pt>
                <c:pt idx="3">
                  <c:v>LE</c:v>
                </c:pt>
                <c:pt idx="4">
                  <c:v>LD</c:v>
                </c:pt>
                <c:pt idx="5">
                  <c:v>ST</c:v>
                </c:pt>
                <c:pt idx="6">
                  <c:v>LT</c:v>
                </c:pt>
                <c:pt idx="7">
                  <c:v>SEN</c:v>
                </c:pt>
                <c:pt idx="8">
                  <c:v>SDN</c:v>
                </c:pt>
                <c:pt idx="9">
                  <c:v>LEN</c:v>
                </c:pt>
                <c:pt idx="10">
                  <c:v>LDN</c:v>
                </c:pt>
                <c:pt idx="11">
                  <c:v>FF</c:v>
                </c:pt>
              </c:strCache>
            </c:strRef>
          </c:cat>
          <c:val>
            <c:numRef>
              <c:f>Parameters!$E$14:$E$25</c:f>
              <c:numCache>
                <c:formatCode>0.00</c:formatCode>
                <c:ptCount val="12"/>
                <c:pt idx="0">
                  <c:v>1</c:v>
                </c:pt>
                <c:pt idx="1">
                  <c:v>0.8</c:v>
                </c:pt>
                <c:pt idx="2">
                  <c:v>0.95</c:v>
                </c:pt>
                <c:pt idx="3">
                  <c:v>0.95</c:v>
                </c:pt>
                <c:pt idx="4">
                  <c:v>1</c:v>
                </c:pt>
                <c:pt idx="5">
                  <c:v>0.8</c:v>
                </c:pt>
                <c:pt idx="6">
                  <c:v>0.9</c:v>
                </c:pt>
                <c:pt idx="7">
                  <c:v>0.9</c:v>
                </c:pt>
                <c:pt idx="8">
                  <c:v>1</c:v>
                </c:pt>
                <c:pt idx="9">
                  <c:v>0.95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Parameters!$F$13</c:f>
              <c:strCache>
                <c:ptCount val="1"/>
                <c:pt idx="0">
                  <c:v>LBK</c:v>
                </c:pt>
              </c:strCache>
            </c:strRef>
          </c:tx>
          <c:cat>
            <c:strRef>
              <c:f>Parameters!$B$14:$B$25</c:f>
              <c:strCache>
                <c:ptCount val="12"/>
                <c:pt idx="0">
                  <c:v>SF</c:v>
                </c:pt>
                <c:pt idx="1">
                  <c:v>SE</c:v>
                </c:pt>
                <c:pt idx="2">
                  <c:v>SD</c:v>
                </c:pt>
                <c:pt idx="3">
                  <c:v>LE</c:v>
                </c:pt>
                <c:pt idx="4">
                  <c:v>LD</c:v>
                </c:pt>
                <c:pt idx="5">
                  <c:v>ST</c:v>
                </c:pt>
                <c:pt idx="6">
                  <c:v>LT</c:v>
                </c:pt>
                <c:pt idx="7">
                  <c:v>SEN</c:v>
                </c:pt>
                <c:pt idx="8">
                  <c:v>SDN</c:v>
                </c:pt>
                <c:pt idx="9">
                  <c:v>LEN</c:v>
                </c:pt>
                <c:pt idx="10">
                  <c:v>LDN</c:v>
                </c:pt>
                <c:pt idx="11">
                  <c:v>FF</c:v>
                </c:pt>
              </c:strCache>
            </c:strRef>
          </c:cat>
          <c:val>
            <c:numRef>
              <c:f>Parameters!$F$14:$F$25</c:f>
              <c:numCache>
                <c:formatCode>0.00</c:formatCode>
                <c:ptCount val="12"/>
                <c:pt idx="0">
                  <c:v>1</c:v>
                </c:pt>
                <c:pt idx="1">
                  <c:v>0.95</c:v>
                </c:pt>
                <c:pt idx="2">
                  <c:v>1.05</c:v>
                </c:pt>
                <c:pt idx="3">
                  <c:v>1.05</c:v>
                </c:pt>
                <c:pt idx="4">
                  <c:v>1.1000000000000001</c:v>
                </c:pt>
                <c:pt idx="5">
                  <c:v>0.9</c:v>
                </c:pt>
                <c:pt idx="6">
                  <c:v>1</c:v>
                </c:pt>
                <c:pt idx="7">
                  <c:v>0.9</c:v>
                </c:pt>
                <c:pt idx="8">
                  <c:v>1</c:v>
                </c:pt>
                <c:pt idx="9">
                  <c:v>1</c:v>
                </c:pt>
                <c:pt idx="10">
                  <c:v>1.05</c:v>
                </c:pt>
                <c:pt idx="11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Parameters!$G$13</c:f>
              <c:strCache>
                <c:ptCount val="1"/>
                <c:pt idx="0">
                  <c:v>LG</c:v>
                </c:pt>
              </c:strCache>
            </c:strRef>
          </c:tx>
          <c:cat>
            <c:strRef>
              <c:f>Parameters!$B$14:$B$25</c:f>
              <c:strCache>
                <c:ptCount val="12"/>
                <c:pt idx="0">
                  <c:v>SF</c:v>
                </c:pt>
                <c:pt idx="1">
                  <c:v>SE</c:v>
                </c:pt>
                <c:pt idx="2">
                  <c:v>SD</c:v>
                </c:pt>
                <c:pt idx="3">
                  <c:v>LE</c:v>
                </c:pt>
                <c:pt idx="4">
                  <c:v>LD</c:v>
                </c:pt>
                <c:pt idx="5">
                  <c:v>ST</c:v>
                </c:pt>
                <c:pt idx="6">
                  <c:v>LT</c:v>
                </c:pt>
                <c:pt idx="7">
                  <c:v>SEN</c:v>
                </c:pt>
                <c:pt idx="8">
                  <c:v>SDN</c:v>
                </c:pt>
                <c:pt idx="9">
                  <c:v>LEN</c:v>
                </c:pt>
                <c:pt idx="10">
                  <c:v>LDN</c:v>
                </c:pt>
                <c:pt idx="11">
                  <c:v>FF</c:v>
                </c:pt>
              </c:strCache>
            </c:strRef>
          </c:cat>
          <c:val>
            <c:numRef>
              <c:f>Parameters!$G$14:$G$25</c:f>
              <c:numCache>
                <c:formatCode>0.00</c:formatCode>
                <c:ptCount val="12"/>
                <c:pt idx="0">
                  <c:v>1</c:v>
                </c:pt>
                <c:pt idx="1">
                  <c:v>0.9</c:v>
                </c:pt>
                <c:pt idx="2">
                  <c:v>1.05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0.9</c:v>
                </c:pt>
                <c:pt idx="6">
                  <c:v>1</c:v>
                </c:pt>
                <c:pt idx="7">
                  <c:v>0.9</c:v>
                </c:pt>
                <c:pt idx="8">
                  <c:v>1</c:v>
                </c:pt>
                <c:pt idx="9">
                  <c:v>1</c:v>
                </c:pt>
                <c:pt idx="10">
                  <c:v>1.05</c:v>
                </c:pt>
                <c:pt idx="11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Parameters!$H$13</c:f>
              <c:strCache>
                <c:ptCount val="1"/>
                <c:pt idx="0">
                  <c:v>BV</c:v>
                </c:pt>
              </c:strCache>
            </c:strRef>
          </c:tx>
          <c:cat>
            <c:strRef>
              <c:f>Parameters!$B$14:$B$25</c:f>
              <c:strCache>
                <c:ptCount val="12"/>
                <c:pt idx="0">
                  <c:v>SF</c:v>
                </c:pt>
                <c:pt idx="1">
                  <c:v>SE</c:v>
                </c:pt>
                <c:pt idx="2">
                  <c:v>SD</c:v>
                </c:pt>
                <c:pt idx="3">
                  <c:v>LE</c:v>
                </c:pt>
                <c:pt idx="4">
                  <c:v>LD</c:v>
                </c:pt>
                <c:pt idx="5">
                  <c:v>ST</c:v>
                </c:pt>
                <c:pt idx="6">
                  <c:v>LT</c:v>
                </c:pt>
                <c:pt idx="7">
                  <c:v>SEN</c:v>
                </c:pt>
                <c:pt idx="8">
                  <c:v>SDN</c:v>
                </c:pt>
                <c:pt idx="9">
                  <c:v>LEN</c:v>
                </c:pt>
                <c:pt idx="10">
                  <c:v>LDN</c:v>
                </c:pt>
                <c:pt idx="11">
                  <c:v>FF</c:v>
                </c:pt>
              </c:strCache>
            </c:strRef>
          </c:cat>
          <c:val>
            <c:numRef>
              <c:f>Parameters!$H$14:$H$25</c:f>
              <c:numCache>
                <c:formatCode>0.00</c:formatCode>
                <c:ptCount val="12"/>
                <c:pt idx="0">
                  <c:v>1</c:v>
                </c:pt>
                <c:pt idx="1">
                  <c:v>0.9</c:v>
                </c:pt>
                <c:pt idx="2">
                  <c:v>1.05</c:v>
                </c:pt>
                <c:pt idx="3">
                  <c:v>1.05</c:v>
                </c:pt>
                <c:pt idx="4">
                  <c:v>1.1000000000000001</c:v>
                </c:pt>
                <c:pt idx="5">
                  <c:v>0.9</c:v>
                </c:pt>
                <c:pt idx="6">
                  <c:v>0.95</c:v>
                </c:pt>
                <c:pt idx="7">
                  <c:v>0.9</c:v>
                </c:pt>
                <c:pt idx="8">
                  <c:v>1</c:v>
                </c:pt>
                <c:pt idx="9">
                  <c:v>1.05</c:v>
                </c:pt>
                <c:pt idx="10">
                  <c:v>1.05</c:v>
                </c:pt>
                <c:pt idx="11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Parameters!$I$13</c:f>
              <c:strCache>
                <c:ptCount val="1"/>
                <c:pt idx="0">
                  <c:v>SJ</c:v>
                </c:pt>
              </c:strCache>
            </c:strRef>
          </c:tx>
          <c:cat>
            <c:strRef>
              <c:f>Parameters!$B$14:$B$25</c:f>
              <c:strCache>
                <c:ptCount val="12"/>
                <c:pt idx="0">
                  <c:v>SF</c:v>
                </c:pt>
                <c:pt idx="1">
                  <c:v>SE</c:v>
                </c:pt>
                <c:pt idx="2">
                  <c:v>SD</c:v>
                </c:pt>
                <c:pt idx="3">
                  <c:v>LE</c:v>
                </c:pt>
                <c:pt idx="4">
                  <c:v>LD</c:v>
                </c:pt>
                <c:pt idx="5">
                  <c:v>ST</c:v>
                </c:pt>
                <c:pt idx="6">
                  <c:v>LT</c:v>
                </c:pt>
                <c:pt idx="7">
                  <c:v>SEN</c:v>
                </c:pt>
                <c:pt idx="8">
                  <c:v>SDN</c:v>
                </c:pt>
                <c:pt idx="9">
                  <c:v>LEN</c:v>
                </c:pt>
                <c:pt idx="10">
                  <c:v>LDN</c:v>
                </c:pt>
                <c:pt idx="11">
                  <c:v>FF</c:v>
                </c:pt>
              </c:strCache>
            </c:strRef>
          </c:cat>
          <c:val>
            <c:numRef>
              <c:f>Parameters!$I$14:$I$25</c:f>
              <c:numCache>
                <c:formatCode>0.00</c:formatCode>
                <c:ptCount val="12"/>
                <c:pt idx="0">
                  <c:v>1</c:v>
                </c:pt>
                <c:pt idx="1">
                  <c:v>1.05</c:v>
                </c:pt>
                <c:pt idx="2">
                  <c:v>1.1000000000000001</c:v>
                </c:pt>
                <c:pt idx="3">
                  <c:v>1.2</c:v>
                </c:pt>
                <c:pt idx="4">
                  <c:v>1.3</c:v>
                </c:pt>
                <c:pt idx="5">
                  <c:v>0.9</c:v>
                </c:pt>
                <c:pt idx="6">
                  <c:v>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1.25</c:v>
                </c:pt>
                <c:pt idx="10">
                  <c:v>1.35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72000"/>
        <c:axId val="180673536"/>
      </c:lineChart>
      <c:catAx>
        <c:axId val="180672000"/>
        <c:scaling>
          <c:orientation val="minMax"/>
        </c:scaling>
        <c:delete val="0"/>
        <c:axPos val="b"/>
        <c:majorTickMark val="out"/>
        <c:minorTickMark val="none"/>
        <c:tickLblPos val="nextTo"/>
        <c:crossAx val="180673536"/>
        <c:crosses val="autoZero"/>
        <c:auto val="1"/>
        <c:lblAlgn val="ctr"/>
        <c:lblOffset val="100"/>
        <c:noMultiLvlLbl val="0"/>
      </c:catAx>
      <c:valAx>
        <c:axId val="180673536"/>
        <c:scaling>
          <c:orientation val="minMax"/>
          <c:max val="1.2"/>
          <c:min val="0.70000000000000007"/>
        </c:scaling>
        <c:delete val="0"/>
        <c:axPos val="l"/>
        <c:majorGridlines/>
        <c:minorGridlines/>
        <c:numFmt formatCode="0.00" sourceLinked="1"/>
        <c:majorTickMark val="out"/>
        <c:minorTickMark val="none"/>
        <c:tickLblPos val="nextTo"/>
        <c:crossAx val="180672000"/>
        <c:crosses val="autoZero"/>
        <c:crossBetween val="between"/>
        <c:majorUnit val="0.1"/>
        <c:minorUnit val="2.0000000000000004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02405949256337E-2"/>
          <c:y val="5.9213413453684638E-2"/>
          <c:w val="0.76223359580052508"/>
          <c:h val="0.80717782375734437"/>
        </c:manualLayout>
      </c:layout>
      <c:lineChart>
        <c:grouping val="standard"/>
        <c:varyColors val="0"/>
        <c:ser>
          <c:idx val="1"/>
          <c:order val="0"/>
          <c:tx>
            <c:strRef>
              <c:f>Parameters!$D$55</c:f>
              <c:strCache>
                <c:ptCount val="1"/>
                <c:pt idx="0">
                  <c:v>EL</c:v>
                </c:pt>
              </c:strCache>
            </c:strRef>
          </c:tx>
          <c:val>
            <c:numRef>
              <c:f>Parameters!$D$56:$D$62</c:f>
              <c:numCache>
                <c:formatCode>0.00</c:formatCode>
                <c:ptCount val="7"/>
                <c:pt idx="0">
                  <c:v>1</c:v>
                </c:pt>
                <c:pt idx="1">
                  <c:v>1.0276033333333332</c:v>
                </c:pt>
                <c:pt idx="2">
                  <c:v>1.0502380666666666</c:v>
                </c:pt>
                <c:pt idx="3">
                  <c:v>1.0685749610000002</c:v>
                </c:pt>
                <c:pt idx="4">
                  <c:v>1.0832042860133333</c:v>
                </c:pt>
                <c:pt idx="5">
                  <c:v>1.0946448753401667</c:v>
                </c:pt>
                <c:pt idx="6">
                  <c:v>1.103352203871462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Parameters!$E$55</c:f>
              <c:strCache>
                <c:ptCount val="1"/>
                <c:pt idx="0">
                  <c:v>ST</c:v>
                </c:pt>
              </c:strCache>
            </c:strRef>
          </c:tx>
          <c:val>
            <c:numRef>
              <c:f>Parameters!$E$56:$E$62</c:f>
              <c:numCache>
                <c:formatCode>0.00</c:formatCode>
                <c:ptCount val="7"/>
                <c:pt idx="0">
                  <c:v>1</c:v>
                </c:pt>
                <c:pt idx="1">
                  <c:v>1.0241529166666667</c:v>
                </c:pt>
                <c:pt idx="2">
                  <c:v>1.0439583083333333</c:v>
                </c:pt>
                <c:pt idx="3">
                  <c:v>1.060003090875</c:v>
                </c:pt>
                <c:pt idx="4">
                  <c:v>1.0728037502616667</c:v>
                </c:pt>
                <c:pt idx="5">
                  <c:v>1.0828142659226458</c:v>
                </c:pt>
                <c:pt idx="6">
                  <c:v>1.0904331783875294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Parameters!$F$55</c:f>
              <c:strCache>
                <c:ptCount val="1"/>
                <c:pt idx="0">
                  <c:v>LBK</c:v>
                </c:pt>
              </c:strCache>
            </c:strRef>
          </c:tx>
          <c:val>
            <c:numRef>
              <c:f>Parameters!$F$56:$F$62</c:f>
              <c:numCache>
                <c:formatCode>0.00</c:formatCode>
                <c:ptCount val="7"/>
                <c:pt idx="0">
                  <c:v>1</c:v>
                </c:pt>
                <c:pt idx="1">
                  <c:v>1.0282133333333332</c:v>
                </c:pt>
                <c:pt idx="2">
                  <c:v>1.0519125333333335</c:v>
                </c:pt>
                <c:pt idx="3">
                  <c:v>1.0716392960000001</c:v>
                </c:pt>
                <c:pt idx="4">
                  <c:v>1.0878775364266666</c:v>
                </c:pt>
                <c:pt idx="5">
                  <c:v>1.1010591668906666</c:v>
                </c:pt>
                <c:pt idx="6">
                  <c:v>1.111569320247296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Parameters!$G$55</c:f>
              <c:strCache>
                <c:ptCount val="1"/>
                <c:pt idx="0">
                  <c:v>LG</c:v>
                </c:pt>
              </c:strCache>
            </c:strRef>
          </c:tx>
          <c:val>
            <c:numRef>
              <c:f>Parameters!$G$56:$G$62</c:f>
              <c:numCache>
                <c:formatCode>0.00</c:formatCode>
                <c:ptCount val="7"/>
                <c:pt idx="0">
                  <c:v>1</c:v>
                </c:pt>
                <c:pt idx="1">
                  <c:v>1.0312941666666666</c:v>
                </c:pt>
                <c:pt idx="2">
                  <c:v>1.0588330333333333</c:v>
                </c:pt>
                <c:pt idx="3">
                  <c:v>1.082954577</c:v>
                </c:pt>
                <c:pt idx="4">
                  <c:v>1.1039697365066667</c:v>
                </c:pt>
                <c:pt idx="5">
                  <c:v>1.1221644403953333</c:v>
                </c:pt>
                <c:pt idx="6">
                  <c:v>1.137801488765936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Parameters!$H$55</c:f>
              <c:strCache>
                <c:ptCount val="1"/>
                <c:pt idx="0">
                  <c:v>BV</c:v>
                </c:pt>
              </c:strCache>
            </c:strRef>
          </c:tx>
          <c:val>
            <c:numRef>
              <c:f>Parameters!$H$56:$H$62</c:f>
              <c:numCache>
                <c:formatCode>0.00</c:formatCode>
                <c:ptCount val="7"/>
                <c:pt idx="0">
                  <c:v>1</c:v>
                </c:pt>
                <c:pt idx="1">
                  <c:v>1.0299766666666665</c:v>
                </c:pt>
                <c:pt idx="2">
                  <c:v>1.0551570666666665</c:v>
                </c:pt>
                <c:pt idx="3">
                  <c:v>1.0761167520000001</c:v>
                </c:pt>
                <c:pt idx="4">
                  <c:v>1.0933698824533333</c:v>
                </c:pt>
                <c:pt idx="5">
                  <c:v>1.1073753648213334</c:v>
                </c:pt>
                <c:pt idx="6">
                  <c:v>1.118542402762752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Parameters!$I$55</c:f>
              <c:strCache>
                <c:ptCount val="1"/>
                <c:pt idx="0">
                  <c:v>SJ</c:v>
                </c:pt>
              </c:strCache>
            </c:strRef>
          </c:tx>
          <c:val>
            <c:numRef>
              <c:f>Parameters!$I$56:$I$62</c:f>
              <c:numCache>
                <c:formatCode>0.00</c:formatCode>
                <c:ptCount val="7"/>
                <c:pt idx="0">
                  <c:v>1</c:v>
                </c:pt>
                <c:pt idx="1">
                  <c:v>1.03384375</c:v>
                </c:pt>
                <c:pt idx="2">
                  <c:v>1.0643031250000001</c:v>
                </c:pt>
                <c:pt idx="3">
                  <c:v>1.0916319531250001</c:v>
                </c:pt>
                <c:pt idx="4">
                  <c:v>1.116067140625</c:v>
                </c:pt>
                <c:pt idx="5">
                  <c:v>1.1378297294921875</c:v>
                </c:pt>
                <c:pt idx="6">
                  <c:v>1.1571258916210938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205056"/>
        <c:axId val="182210944"/>
      </c:lineChart>
      <c:catAx>
        <c:axId val="182205056"/>
        <c:scaling>
          <c:orientation val="minMax"/>
        </c:scaling>
        <c:delete val="0"/>
        <c:axPos val="b"/>
        <c:majorTickMark val="out"/>
        <c:minorTickMark val="none"/>
        <c:tickLblPos val="nextTo"/>
        <c:crossAx val="182210944"/>
        <c:crosses val="autoZero"/>
        <c:auto val="1"/>
        <c:lblAlgn val="ctr"/>
        <c:lblOffset val="100"/>
        <c:noMultiLvlLbl val="0"/>
      </c:catAx>
      <c:valAx>
        <c:axId val="182210944"/>
        <c:scaling>
          <c:orientation val="minMax"/>
          <c:max val="1.2"/>
          <c:min val="1"/>
        </c:scaling>
        <c:delete val="0"/>
        <c:axPos val="l"/>
        <c:majorGridlines/>
        <c:minorGridlines/>
        <c:numFmt formatCode="0.00" sourceLinked="1"/>
        <c:majorTickMark val="out"/>
        <c:minorTickMark val="none"/>
        <c:tickLblPos val="nextTo"/>
        <c:crossAx val="182205056"/>
        <c:crosses val="autoZero"/>
        <c:crossBetween val="between"/>
        <c:majorUnit val="5.000000000000001E-2"/>
        <c:minorUnit val="1.0000000000000002E-2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11</xdr:row>
      <xdr:rowOff>104774</xdr:rowOff>
    </xdr:from>
    <xdr:to>
      <xdr:col>17</xdr:col>
      <xdr:colOff>114300</xdr:colOff>
      <xdr:row>25</xdr:row>
      <xdr:rowOff>85725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428625</xdr:colOff>
      <xdr:row>49</xdr:row>
      <xdr:rowOff>38099</xdr:rowOff>
    </xdr:from>
    <xdr:to>
      <xdr:col>17</xdr:col>
      <xdr:colOff>123825</xdr:colOff>
      <xdr:row>62</xdr:row>
      <xdr:rowOff>142875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3"/>
  <sheetViews>
    <sheetView workbookViewId="0">
      <selection activeCell="E21" sqref="E21"/>
    </sheetView>
  </sheetViews>
  <sheetFormatPr baseColWidth="10" defaultColWidth="9.140625" defaultRowHeight="12.75" x14ac:dyDescent="0.2"/>
  <cols>
    <col min="1" max="1" width="1.85546875" customWidth="1"/>
    <col min="2" max="2" width="18.85546875" bestFit="1" customWidth="1"/>
    <col min="3" max="3" width="10.140625" bestFit="1" customWidth="1"/>
    <col min="4" max="4" width="24.5703125" customWidth="1"/>
    <col min="5" max="5" width="9" bestFit="1" customWidth="1"/>
    <col min="6" max="6" width="6.5703125" bestFit="1" customWidth="1"/>
    <col min="7" max="7" width="5.5703125" bestFit="1" customWidth="1"/>
    <col min="8" max="9" width="5.140625" bestFit="1" customWidth="1"/>
  </cols>
  <sheetData>
    <row r="1" spans="2:9" ht="4.5" customHeight="1" thickBot="1" x14ac:dyDescent="0.25"/>
    <row r="2" spans="2:9" ht="26.25" x14ac:dyDescent="0.4">
      <c r="B2" s="150" t="s">
        <v>91</v>
      </c>
      <c r="C2" s="151"/>
      <c r="D2" s="151"/>
      <c r="E2" s="151"/>
      <c r="F2" s="151"/>
      <c r="G2" s="151"/>
      <c r="H2" s="151"/>
      <c r="I2" s="152"/>
    </row>
    <row r="3" spans="2:9" x14ac:dyDescent="0.2">
      <c r="B3" s="16" t="s">
        <v>88</v>
      </c>
      <c r="C3" s="1" t="s">
        <v>92</v>
      </c>
      <c r="D3" s="1" t="s">
        <v>90</v>
      </c>
      <c r="E3" s="1" t="s">
        <v>89</v>
      </c>
      <c r="F3" s="1" t="s">
        <v>93</v>
      </c>
      <c r="G3" s="9"/>
      <c r="H3" s="9"/>
      <c r="I3" s="17"/>
    </row>
    <row r="4" spans="2:9" x14ac:dyDescent="0.2">
      <c r="B4" s="38" t="s">
        <v>28</v>
      </c>
      <c r="C4" s="37">
        <f>CODE(B4)-64</f>
        <v>1</v>
      </c>
      <c r="D4" s="39" t="s">
        <v>29</v>
      </c>
      <c r="E4" s="40" t="s">
        <v>38</v>
      </c>
      <c r="F4" s="84">
        <v>4.8611111111111112E-3</v>
      </c>
      <c r="G4" s="9"/>
      <c r="H4" s="9"/>
      <c r="I4" s="17"/>
    </row>
    <row r="5" spans="2:9" x14ac:dyDescent="0.2">
      <c r="B5" s="38" t="s">
        <v>30</v>
      </c>
      <c r="C5" s="37">
        <f t="shared" ref="C5:C9" si="0">CODE(B5)-64</f>
        <v>2</v>
      </c>
      <c r="D5" s="41" t="s">
        <v>74</v>
      </c>
      <c r="E5" s="40" t="s">
        <v>19</v>
      </c>
      <c r="F5" s="84">
        <v>5.0347222222222225E-3</v>
      </c>
      <c r="G5" s="9"/>
      <c r="H5" s="9"/>
      <c r="I5" s="17"/>
    </row>
    <row r="6" spans="2:9" x14ac:dyDescent="0.2">
      <c r="B6" s="38" t="s">
        <v>32</v>
      </c>
      <c r="C6" s="37">
        <f t="shared" si="0"/>
        <v>3</v>
      </c>
      <c r="D6" s="39" t="s">
        <v>36</v>
      </c>
      <c r="E6" s="136" t="s">
        <v>111</v>
      </c>
      <c r="F6" s="84">
        <v>5.208333333333333E-3</v>
      </c>
      <c r="G6" s="9"/>
      <c r="H6" s="9"/>
      <c r="I6" s="17"/>
    </row>
    <row r="7" spans="2:9" x14ac:dyDescent="0.2">
      <c r="B7" s="38" t="s">
        <v>34</v>
      </c>
      <c r="C7" s="37">
        <f t="shared" si="0"/>
        <v>4</v>
      </c>
      <c r="D7" s="39" t="s">
        <v>31</v>
      </c>
      <c r="E7" s="40" t="s">
        <v>39</v>
      </c>
      <c r="F7" s="84">
        <v>5.208333333333333E-3</v>
      </c>
      <c r="G7" s="9"/>
      <c r="H7" s="9"/>
      <c r="I7" s="17"/>
    </row>
    <row r="8" spans="2:9" x14ac:dyDescent="0.2">
      <c r="B8" s="38" t="s">
        <v>35</v>
      </c>
      <c r="C8" s="37">
        <f t="shared" si="0"/>
        <v>5</v>
      </c>
      <c r="D8" s="39" t="s">
        <v>33</v>
      </c>
      <c r="E8" s="40" t="s">
        <v>40</v>
      </c>
      <c r="F8" s="84">
        <v>5.208333333333333E-3</v>
      </c>
      <c r="G8" s="9"/>
      <c r="H8" s="9"/>
      <c r="I8" s="17"/>
    </row>
    <row r="9" spans="2:9" x14ac:dyDescent="0.2">
      <c r="B9" s="38" t="s">
        <v>37</v>
      </c>
      <c r="C9" s="37">
        <f t="shared" si="0"/>
        <v>6</v>
      </c>
      <c r="D9" s="41" t="s">
        <v>75</v>
      </c>
      <c r="E9" s="40" t="s">
        <v>76</v>
      </c>
      <c r="F9" s="84">
        <v>5.5555555555555558E-3</v>
      </c>
      <c r="G9" s="9"/>
      <c r="H9" s="9"/>
      <c r="I9" s="17"/>
    </row>
    <row r="10" spans="2:9" ht="13.5" thickBot="1" x14ac:dyDescent="0.25">
      <c r="B10" s="19"/>
      <c r="C10" s="20"/>
      <c r="D10" s="20"/>
      <c r="E10" s="20"/>
      <c r="F10" s="20"/>
      <c r="G10" s="20"/>
      <c r="H10" s="20"/>
      <c r="I10" s="21"/>
    </row>
    <row r="11" spans="2:9" ht="4.5" customHeight="1" thickBot="1" x14ac:dyDescent="0.25"/>
    <row r="12" spans="2:9" ht="26.25" x14ac:dyDescent="0.4">
      <c r="B12" s="150" t="s">
        <v>85</v>
      </c>
      <c r="C12" s="151"/>
      <c r="D12" s="151"/>
      <c r="E12" s="151"/>
      <c r="F12" s="151"/>
      <c r="G12" s="151"/>
      <c r="H12" s="151"/>
      <c r="I12" s="152"/>
    </row>
    <row r="13" spans="2:9" s="10" customFormat="1" x14ac:dyDescent="0.2">
      <c r="B13" s="16" t="s">
        <v>44</v>
      </c>
      <c r="C13" s="1" t="s">
        <v>109</v>
      </c>
      <c r="D13" s="27" t="str">
        <f>$E$4</f>
        <v>EL</v>
      </c>
      <c r="E13" s="27" t="str">
        <f>$E$5</f>
        <v>ST</v>
      </c>
      <c r="F13" s="27" t="str">
        <f>$E$6</f>
        <v>LBK</v>
      </c>
      <c r="G13" s="27" t="str">
        <f>$E$7</f>
        <v>LG</v>
      </c>
      <c r="H13" s="27" t="str">
        <f>$E$8</f>
        <v>BV</v>
      </c>
      <c r="I13" s="28" t="str">
        <f>$E$9</f>
        <v>SJ</v>
      </c>
    </row>
    <row r="14" spans="2:9" ht="12.75" customHeight="1" x14ac:dyDescent="0.2">
      <c r="B14" s="22" t="s">
        <v>14</v>
      </c>
      <c r="C14" s="29">
        <v>1</v>
      </c>
      <c r="D14" s="137">
        <v>1</v>
      </c>
      <c r="E14" s="137">
        <v>1</v>
      </c>
      <c r="F14" s="137">
        <v>1</v>
      </c>
      <c r="G14" s="137">
        <v>1</v>
      </c>
      <c r="H14" s="137">
        <v>1</v>
      </c>
      <c r="I14" s="138">
        <v>1</v>
      </c>
    </row>
    <row r="15" spans="2:9" ht="12.75" customHeight="1" x14ac:dyDescent="0.2">
      <c r="B15" s="22" t="s">
        <v>15</v>
      </c>
      <c r="C15" s="29">
        <v>0.9</v>
      </c>
      <c r="D15" s="137">
        <v>0.8</v>
      </c>
      <c r="E15" s="137">
        <v>0.8</v>
      </c>
      <c r="F15" s="137">
        <v>0.95</v>
      </c>
      <c r="G15" s="137">
        <v>0.9</v>
      </c>
      <c r="H15" s="137">
        <v>0.9</v>
      </c>
      <c r="I15" s="138">
        <v>1.05</v>
      </c>
    </row>
    <row r="16" spans="2:9" ht="12.75" customHeight="1" x14ac:dyDescent="0.2">
      <c r="B16" s="22" t="s">
        <v>16</v>
      </c>
      <c r="C16" s="29">
        <v>1</v>
      </c>
      <c r="D16" s="137">
        <v>1</v>
      </c>
      <c r="E16" s="137">
        <v>0.95</v>
      </c>
      <c r="F16" s="137">
        <v>1.05</v>
      </c>
      <c r="G16" s="139">
        <v>1.05</v>
      </c>
      <c r="H16" s="137">
        <v>1.05</v>
      </c>
      <c r="I16" s="138">
        <v>1.1000000000000001</v>
      </c>
    </row>
    <row r="17" spans="2:9" ht="12.75" customHeight="1" x14ac:dyDescent="0.2">
      <c r="B17" s="22" t="s">
        <v>17</v>
      </c>
      <c r="C17" s="29">
        <v>1</v>
      </c>
      <c r="D17" s="137">
        <v>1</v>
      </c>
      <c r="E17" s="137">
        <v>0.95</v>
      </c>
      <c r="F17" s="137">
        <v>1.05</v>
      </c>
      <c r="G17" s="137">
        <v>1.1000000000000001</v>
      </c>
      <c r="H17" s="139">
        <v>1.05</v>
      </c>
      <c r="I17" s="138">
        <v>1.2</v>
      </c>
    </row>
    <row r="18" spans="2:9" ht="12.75" customHeight="1" x14ac:dyDescent="0.2">
      <c r="B18" s="22" t="s">
        <v>18</v>
      </c>
      <c r="C18" s="29">
        <v>1.05</v>
      </c>
      <c r="D18" s="137">
        <v>1.05</v>
      </c>
      <c r="E18" s="137">
        <v>1</v>
      </c>
      <c r="F18" s="137">
        <v>1.1000000000000001</v>
      </c>
      <c r="G18" s="139">
        <v>1.1000000000000001</v>
      </c>
      <c r="H18" s="137">
        <v>1.1000000000000001</v>
      </c>
      <c r="I18" s="138">
        <v>1.3</v>
      </c>
    </row>
    <row r="19" spans="2:9" ht="12.75" customHeight="1" x14ac:dyDescent="0.2">
      <c r="B19" s="22" t="s">
        <v>19</v>
      </c>
      <c r="C19" s="29">
        <v>0.9</v>
      </c>
      <c r="D19" s="137">
        <v>0.8</v>
      </c>
      <c r="E19" s="137">
        <v>0.8</v>
      </c>
      <c r="F19" s="137">
        <v>0.9</v>
      </c>
      <c r="G19" s="137">
        <v>0.9</v>
      </c>
      <c r="H19" s="137">
        <v>0.9</v>
      </c>
      <c r="I19" s="138">
        <v>0.9</v>
      </c>
    </row>
    <row r="20" spans="2:9" ht="12.75" customHeight="1" x14ac:dyDescent="0.2">
      <c r="B20" s="22" t="s">
        <v>20</v>
      </c>
      <c r="C20" s="29">
        <v>1</v>
      </c>
      <c r="D20" s="137">
        <v>0.9</v>
      </c>
      <c r="E20" s="137">
        <v>0.9</v>
      </c>
      <c r="F20" s="137">
        <v>1</v>
      </c>
      <c r="G20" s="137">
        <v>1</v>
      </c>
      <c r="H20" s="137">
        <v>0.95</v>
      </c>
      <c r="I20" s="138">
        <v>1</v>
      </c>
    </row>
    <row r="21" spans="2:9" ht="12.75" customHeight="1" x14ac:dyDescent="0.2">
      <c r="B21" s="22" t="s">
        <v>21</v>
      </c>
      <c r="C21" s="30">
        <v>0.9</v>
      </c>
      <c r="D21" s="139">
        <v>0.9</v>
      </c>
      <c r="E21" s="139">
        <v>0.9</v>
      </c>
      <c r="F21" s="139">
        <v>0.9</v>
      </c>
      <c r="G21" s="139">
        <v>0.9</v>
      </c>
      <c r="H21" s="139">
        <v>0.9</v>
      </c>
      <c r="I21" s="140">
        <v>1.1000000000000001</v>
      </c>
    </row>
    <row r="22" spans="2:9" ht="12.75" customHeight="1" x14ac:dyDescent="0.2">
      <c r="B22" s="22" t="s">
        <v>22</v>
      </c>
      <c r="C22" s="29">
        <v>1</v>
      </c>
      <c r="D22" s="137">
        <v>1</v>
      </c>
      <c r="E22" s="137">
        <v>1</v>
      </c>
      <c r="F22" s="137">
        <v>1</v>
      </c>
      <c r="G22" s="137">
        <v>1</v>
      </c>
      <c r="H22" s="137">
        <v>1</v>
      </c>
      <c r="I22" s="138">
        <v>1.1000000000000001</v>
      </c>
    </row>
    <row r="23" spans="2:9" ht="12.75" customHeight="1" x14ac:dyDescent="0.2">
      <c r="B23" s="22" t="s">
        <v>23</v>
      </c>
      <c r="C23" s="29">
        <v>1</v>
      </c>
      <c r="D23" s="137">
        <v>1</v>
      </c>
      <c r="E23" s="137">
        <v>0.95</v>
      </c>
      <c r="F23" s="137">
        <v>1</v>
      </c>
      <c r="G23" s="137">
        <v>1</v>
      </c>
      <c r="H23" s="137">
        <v>1.05</v>
      </c>
      <c r="I23" s="138">
        <v>1.25</v>
      </c>
    </row>
    <row r="24" spans="2:9" ht="12.75" customHeight="1" x14ac:dyDescent="0.2">
      <c r="B24" s="22" t="s">
        <v>24</v>
      </c>
      <c r="C24" s="29">
        <v>1.1000000000000001</v>
      </c>
      <c r="D24" s="137">
        <v>1.05</v>
      </c>
      <c r="E24" s="137">
        <v>1</v>
      </c>
      <c r="F24" s="137">
        <v>1.05</v>
      </c>
      <c r="G24" s="137">
        <v>1.05</v>
      </c>
      <c r="H24" s="137">
        <v>1.05</v>
      </c>
      <c r="I24" s="138">
        <v>1.35</v>
      </c>
    </row>
    <row r="25" spans="2:9" ht="12.75" customHeight="1" x14ac:dyDescent="0.2">
      <c r="B25" s="22" t="s">
        <v>25</v>
      </c>
      <c r="C25" s="29">
        <v>1</v>
      </c>
      <c r="D25" s="137">
        <v>1</v>
      </c>
      <c r="E25" s="137">
        <v>1</v>
      </c>
      <c r="F25" s="137">
        <v>1</v>
      </c>
      <c r="G25" s="137">
        <v>1</v>
      </c>
      <c r="H25" s="137">
        <v>1</v>
      </c>
      <c r="I25" s="138">
        <v>1</v>
      </c>
    </row>
    <row r="26" spans="2:9" ht="13.5" thickBot="1" x14ac:dyDescent="0.25">
      <c r="B26" s="19"/>
      <c r="C26" s="23"/>
      <c r="D26" s="23"/>
      <c r="E26" s="23"/>
      <c r="F26" s="23"/>
      <c r="G26" s="23"/>
      <c r="H26" s="23"/>
      <c r="I26" s="24"/>
    </row>
    <row r="27" spans="2:9" ht="4.5" customHeight="1" thickBot="1" x14ac:dyDescent="0.25">
      <c r="C27" s="9"/>
    </row>
    <row r="28" spans="2:9" ht="26.25" x14ac:dyDescent="0.4">
      <c r="B28" s="150" t="s">
        <v>84</v>
      </c>
      <c r="C28" s="151"/>
      <c r="D28" s="151"/>
      <c r="E28" s="151"/>
      <c r="F28" s="151"/>
      <c r="G28" s="151"/>
      <c r="H28" s="151"/>
      <c r="I28" s="152"/>
    </row>
    <row r="29" spans="2:9" x14ac:dyDescent="0.2">
      <c r="B29" s="22" t="s">
        <v>58</v>
      </c>
      <c r="C29" s="42">
        <v>7</v>
      </c>
      <c r="D29" s="9"/>
      <c r="E29" s="9"/>
      <c r="F29" s="9"/>
      <c r="G29" s="9"/>
      <c r="H29" s="9"/>
      <c r="I29" s="17"/>
    </row>
    <row r="30" spans="2:9" ht="13.5" thickBot="1" x14ac:dyDescent="0.25">
      <c r="B30" s="19"/>
      <c r="C30" s="20"/>
      <c r="D30" s="20"/>
      <c r="E30" s="20"/>
      <c r="F30" s="20"/>
      <c r="G30" s="20"/>
      <c r="H30" s="20"/>
      <c r="I30" s="21"/>
    </row>
    <row r="31" spans="2:9" ht="4.5" customHeight="1" thickBot="1" x14ac:dyDescent="0.25"/>
    <row r="32" spans="2:9" ht="26.25" x14ac:dyDescent="0.4">
      <c r="B32" s="150" t="s">
        <v>83</v>
      </c>
      <c r="C32" s="151"/>
      <c r="D32" s="151"/>
      <c r="E32" s="151"/>
      <c r="F32" s="151"/>
      <c r="G32" s="151"/>
      <c r="H32" s="151"/>
      <c r="I32" s="152"/>
    </row>
    <row r="33" spans="2:9" x14ac:dyDescent="0.2">
      <c r="B33" s="16" t="s">
        <v>52</v>
      </c>
      <c r="C33" s="6">
        <v>1.375</v>
      </c>
      <c r="D33" s="9"/>
      <c r="E33" s="9"/>
      <c r="F33" s="9"/>
      <c r="G33" s="9"/>
      <c r="H33" s="9"/>
      <c r="I33" s="17"/>
    </row>
    <row r="34" spans="2:9" x14ac:dyDescent="0.2">
      <c r="B34" s="16" t="s">
        <v>54</v>
      </c>
      <c r="C34" s="43">
        <v>0.4375</v>
      </c>
      <c r="D34" s="9"/>
      <c r="E34" s="9"/>
      <c r="F34" s="9"/>
      <c r="G34" s="9"/>
      <c r="H34" s="9"/>
      <c r="I34" s="17"/>
    </row>
    <row r="35" spans="2:9" x14ac:dyDescent="0.2">
      <c r="B35" s="16" t="s">
        <v>1</v>
      </c>
      <c r="C35" s="6">
        <f>C33+C34</f>
        <v>1.8125</v>
      </c>
      <c r="D35" s="9"/>
      <c r="E35" s="9"/>
      <c r="F35" s="9"/>
      <c r="G35" s="9"/>
      <c r="H35" s="9"/>
      <c r="I35" s="17"/>
    </row>
    <row r="36" spans="2:9" x14ac:dyDescent="0.2">
      <c r="B36" s="16" t="s">
        <v>49</v>
      </c>
      <c r="C36" s="6">
        <v>1</v>
      </c>
      <c r="D36" s="9"/>
      <c r="E36" s="9"/>
      <c r="F36" s="9"/>
      <c r="G36" s="9"/>
      <c r="H36" s="9"/>
      <c r="I36" s="17"/>
    </row>
    <row r="37" spans="2:9" x14ac:dyDescent="0.2">
      <c r="B37" s="16" t="s">
        <v>0</v>
      </c>
      <c r="C37" s="6">
        <f>C33+C36</f>
        <v>2.375</v>
      </c>
      <c r="D37" s="9"/>
      <c r="E37" s="9"/>
      <c r="F37" s="9"/>
      <c r="G37" s="9"/>
      <c r="H37" s="9"/>
      <c r="I37" s="17"/>
    </row>
    <row r="38" spans="2:9" ht="13.5" thickBot="1" x14ac:dyDescent="0.25">
      <c r="B38" s="25"/>
      <c r="C38" s="26"/>
      <c r="D38" s="20"/>
      <c r="E38" s="20"/>
      <c r="F38" s="20"/>
      <c r="G38" s="20"/>
      <c r="H38" s="20"/>
      <c r="I38" s="21"/>
    </row>
    <row r="39" spans="2:9" ht="4.5" customHeight="1" thickBot="1" x14ac:dyDescent="0.25"/>
    <row r="40" spans="2:9" ht="26.25" x14ac:dyDescent="0.4">
      <c r="B40" s="150" t="s">
        <v>80</v>
      </c>
      <c r="C40" s="151"/>
      <c r="D40" s="151"/>
      <c r="E40" s="151"/>
      <c r="F40" s="151"/>
      <c r="G40" s="151"/>
      <c r="H40" s="151"/>
      <c r="I40" s="152"/>
    </row>
    <row r="41" spans="2:9" x14ac:dyDescent="0.2">
      <c r="B41" s="16" t="s">
        <v>78</v>
      </c>
      <c r="C41" s="1" t="s">
        <v>49</v>
      </c>
      <c r="D41" s="1" t="s">
        <v>51</v>
      </c>
      <c r="E41" s="1" t="s">
        <v>79</v>
      </c>
      <c r="F41" s="9"/>
      <c r="G41" s="9"/>
      <c r="H41" s="9"/>
      <c r="I41" s="17"/>
    </row>
    <row r="42" spans="2:9" x14ac:dyDescent="0.2">
      <c r="B42" s="18">
        <v>1.375</v>
      </c>
      <c r="C42" s="36">
        <f t="shared" ref="C42:C47" si="1">B42-C$33</f>
        <v>0</v>
      </c>
      <c r="D42" s="42">
        <v>1</v>
      </c>
      <c r="E42" s="36">
        <f>IF(ISNUMBER(B44),B44-B42,1+Startzeit-B42)</f>
        <v>0.47916666666666652</v>
      </c>
      <c r="F42" s="9"/>
      <c r="G42" s="9"/>
      <c r="H42" s="9"/>
      <c r="I42" s="17"/>
    </row>
    <row r="43" spans="2:9" x14ac:dyDescent="0.2">
      <c r="B43" s="18">
        <v>1.8125</v>
      </c>
      <c r="C43" s="36">
        <f t="shared" si="1"/>
        <v>0.4375</v>
      </c>
      <c r="D43" s="42">
        <v>1.02</v>
      </c>
      <c r="E43" s="36">
        <f>IF(ISNUMBER(B44),B44-B43,1+Startzeit-B43)</f>
        <v>4.1666666666666519E-2</v>
      </c>
      <c r="F43" s="9"/>
      <c r="G43" s="9"/>
      <c r="H43" s="9"/>
      <c r="I43" s="17"/>
    </row>
    <row r="44" spans="2:9" x14ac:dyDescent="0.2">
      <c r="B44" s="18">
        <v>1.8541666666666665</v>
      </c>
      <c r="C44" s="36">
        <f t="shared" si="1"/>
        <v>0.47916666666666652</v>
      </c>
      <c r="D44" s="42">
        <v>1.07</v>
      </c>
      <c r="E44" s="36">
        <f>IF(ISNUMBER(B45),B45-B44,1+Startzeit-B44)</f>
        <v>4.1666666666666963E-2</v>
      </c>
      <c r="F44" s="9"/>
      <c r="G44" s="9"/>
      <c r="H44" s="9"/>
      <c r="I44" s="17"/>
    </row>
    <row r="45" spans="2:9" x14ac:dyDescent="0.2">
      <c r="B45" s="18">
        <v>1.8958333333333335</v>
      </c>
      <c r="C45" s="36">
        <f t="shared" si="1"/>
        <v>0.52083333333333348</v>
      </c>
      <c r="D45" s="42">
        <v>1.1200000000000001</v>
      </c>
      <c r="E45" s="36">
        <f>IF(ISNUMBER(B46),B46-B45,1+Startzeit-B45)</f>
        <v>0.29166666666666652</v>
      </c>
      <c r="F45" s="9"/>
      <c r="G45" s="9"/>
      <c r="H45" s="9"/>
      <c r="I45" s="17"/>
    </row>
    <row r="46" spans="2:9" x14ac:dyDescent="0.2">
      <c r="B46" s="18">
        <v>2.1875</v>
      </c>
      <c r="C46" s="36">
        <f t="shared" si="1"/>
        <v>0.8125</v>
      </c>
      <c r="D46" s="42">
        <v>1.06</v>
      </c>
      <c r="E46" s="36">
        <f>IF(ISNUMBER(B47),B47-B46,1+Startzeit-B46)</f>
        <v>4.1666666666666519E-2</v>
      </c>
      <c r="F46" s="9"/>
      <c r="G46" s="9"/>
      <c r="H46" s="9"/>
      <c r="I46" s="17"/>
    </row>
    <row r="47" spans="2:9" x14ac:dyDescent="0.2">
      <c r="B47" s="18">
        <v>2.2291666666666665</v>
      </c>
      <c r="C47" s="36">
        <f t="shared" si="1"/>
        <v>0.85416666666666652</v>
      </c>
      <c r="D47" s="42">
        <v>1</v>
      </c>
      <c r="E47" s="36">
        <f>IF(ISNUMBER(B48),B48-B47,1+Startzeit-B47)</f>
        <v>0.14583333333333348</v>
      </c>
      <c r="F47" s="9"/>
      <c r="G47" s="9"/>
      <c r="H47" s="9"/>
      <c r="I47" s="17"/>
    </row>
    <row r="48" spans="2:9" ht="13.5" thickBot="1" x14ac:dyDescent="0.25">
      <c r="B48" s="19"/>
      <c r="C48" s="20"/>
      <c r="D48" s="20"/>
      <c r="E48" s="20"/>
      <c r="F48" s="20"/>
      <c r="G48" s="20"/>
      <c r="H48" s="20"/>
      <c r="I48" s="21"/>
    </row>
    <row r="49" spans="2:9" ht="4.5" customHeight="1" thickBot="1" x14ac:dyDescent="0.25">
      <c r="B49" s="9"/>
      <c r="C49" s="9"/>
      <c r="D49" s="9"/>
      <c r="E49" s="9"/>
      <c r="F49" s="9"/>
      <c r="G49" s="9"/>
      <c r="H49" s="9"/>
      <c r="I49" s="9"/>
    </row>
    <row r="50" spans="2:9" ht="26.25" x14ac:dyDescent="0.4">
      <c r="B50" s="150" t="s">
        <v>87</v>
      </c>
      <c r="C50" s="151"/>
      <c r="D50" s="151"/>
      <c r="E50" s="151"/>
      <c r="F50" s="151"/>
      <c r="G50" s="151"/>
      <c r="H50" s="151"/>
      <c r="I50" s="152"/>
    </row>
    <row r="51" spans="2:9" x14ac:dyDescent="0.2">
      <c r="B51" s="33"/>
      <c r="C51" s="27" t="s">
        <v>51</v>
      </c>
      <c r="D51" s="27" t="str">
        <f>$E$4</f>
        <v>EL</v>
      </c>
      <c r="E51" s="27" t="str">
        <f>$E$5</f>
        <v>ST</v>
      </c>
      <c r="F51" s="27" t="str">
        <f>$E$6</f>
        <v>LBK</v>
      </c>
      <c r="G51" s="27" t="str">
        <f>$E$7</f>
        <v>LG</v>
      </c>
      <c r="H51" s="27" t="str">
        <f>$E$8</f>
        <v>BV</v>
      </c>
      <c r="I51" s="28" t="str">
        <f>$E$9</f>
        <v>SJ</v>
      </c>
    </row>
    <row r="52" spans="2:9" x14ac:dyDescent="0.2">
      <c r="B52" s="16" t="s">
        <v>86</v>
      </c>
      <c r="C52" s="7">
        <v>0.9</v>
      </c>
      <c r="D52" s="42">
        <v>0.8</v>
      </c>
      <c r="E52" s="42">
        <v>0.7</v>
      </c>
      <c r="F52" s="42">
        <v>0.8</v>
      </c>
      <c r="G52" s="42">
        <v>0.85</v>
      </c>
      <c r="H52" s="42">
        <v>0.85</v>
      </c>
      <c r="I52" s="44">
        <v>0.9</v>
      </c>
    </row>
    <row r="53" spans="2:9" x14ac:dyDescent="0.2">
      <c r="B53" s="16" t="s">
        <v>96</v>
      </c>
      <c r="C53" s="7">
        <v>0.93</v>
      </c>
      <c r="D53" s="42">
        <v>0.91</v>
      </c>
      <c r="E53" s="141">
        <v>0.91</v>
      </c>
      <c r="F53" s="42">
        <v>0.92</v>
      </c>
      <c r="G53" s="42">
        <v>0.94</v>
      </c>
      <c r="H53" s="42">
        <v>0.92</v>
      </c>
      <c r="I53" s="44">
        <v>0.95</v>
      </c>
    </row>
    <row r="54" spans="2:9" x14ac:dyDescent="0.2">
      <c r="B54" s="32" t="s">
        <v>110</v>
      </c>
      <c r="C54" s="31"/>
      <c r="D54" s="31"/>
      <c r="E54" s="31"/>
      <c r="F54" s="31"/>
      <c r="G54" s="31"/>
      <c r="H54" s="9"/>
      <c r="I54" s="17"/>
    </row>
    <row r="55" spans="2:9" x14ac:dyDescent="0.2">
      <c r="B55" s="16" t="s">
        <v>53</v>
      </c>
      <c r="C55" s="4" t="s">
        <v>61</v>
      </c>
      <c r="D55" s="27" t="str">
        <f>$E$4</f>
        <v>EL</v>
      </c>
      <c r="E55" s="27" t="str">
        <f>$E$5</f>
        <v>ST</v>
      </c>
      <c r="F55" s="27" t="str">
        <f>$E$6</f>
        <v>LBK</v>
      </c>
      <c r="G55" s="27" t="str">
        <f>$E$7</f>
        <v>LG</v>
      </c>
      <c r="H55" s="27" t="str">
        <f>$E$8</f>
        <v>BV</v>
      </c>
      <c r="I55" s="28" t="str">
        <f>$E$9</f>
        <v>SJ</v>
      </c>
    </row>
    <row r="56" spans="2:9" x14ac:dyDescent="0.2">
      <c r="B56" s="22">
        <v>1</v>
      </c>
      <c r="C56" s="34">
        <f>(24+($B56-1)*C$52*POWER(C$53,$B56))/24</f>
        <v>1</v>
      </c>
      <c r="D56" s="34">
        <f t="shared" ref="D56:I56" si="2">(24+($B56-1)*D$52*POWER(D$53,$B56))/24</f>
        <v>1</v>
      </c>
      <c r="E56" s="34">
        <f t="shared" si="2"/>
        <v>1</v>
      </c>
      <c r="F56" s="34">
        <f t="shared" si="2"/>
        <v>1</v>
      </c>
      <c r="G56" s="34">
        <f t="shared" si="2"/>
        <v>1</v>
      </c>
      <c r="H56" s="34">
        <f t="shared" si="2"/>
        <v>1</v>
      </c>
      <c r="I56" s="35">
        <f t="shared" si="2"/>
        <v>1</v>
      </c>
    </row>
    <row r="57" spans="2:9" x14ac:dyDescent="0.2">
      <c r="B57" s="22">
        <v>2</v>
      </c>
      <c r="C57" s="34">
        <f t="shared" ref="C57:I62" si="3">(24+($B57-1)*C$52*POWER(C$53,$B57))/24</f>
        <v>1.03243375</v>
      </c>
      <c r="D57" s="34">
        <f t="shared" si="3"/>
        <v>1.0276033333333332</v>
      </c>
      <c r="E57" s="34">
        <f t="shared" si="3"/>
        <v>1.0241529166666667</v>
      </c>
      <c r="F57" s="34">
        <f t="shared" si="3"/>
        <v>1.0282133333333332</v>
      </c>
      <c r="G57" s="34">
        <f t="shared" si="3"/>
        <v>1.0312941666666666</v>
      </c>
      <c r="H57" s="34">
        <f t="shared" si="3"/>
        <v>1.0299766666666665</v>
      </c>
      <c r="I57" s="35">
        <f t="shared" si="3"/>
        <v>1.03384375</v>
      </c>
    </row>
    <row r="58" spans="2:9" x14ac:dyDescent="0.2">
      <c r="B58" s="22">
        <v>3</v>
      </c>
      <c r="C58" s="34">
        <f t="shared" si="3"/>
        <v>1.0603267750000001</v>
      </c>
      <c r="D58" s="34">
        <f t="shared" si="3"/>
        <v>1.0502380666666666</v>
      </c>
      <c r="E58" s="34">
        <f t="shared" si="3"/>
        <v>1.0439583083333333</v>
      </c>
      <c r="F58" s="34">
        <f t="shared" si="3"/>
        <v>1.0519125333333335</v>
      </c>
      <c r="G58" s="34">
        <f t="shared" si="3"/>
        <v>1.0588330333333333</v>
      </c>
      <c r="H58" s="34">
        <f t="shared" si="3"/>
        <v>1.0551570666666665</v>
      </c>
      <c r="I58" s="35">
        <f t="shared" si="3"/>
        <v>1.0643031250000001</v>
      </c>
    </row>
    <row r="59" spans="2:9" x14ac:dyDescent="0.2">
      <c r="B59" s="22">
        <v>4</v>
      </c>
      <c r="C59" s="34">
        <f t="shared" si="3"/>
        <v>1.084155851125</v>
      </c>
      <c r="D59" s="34">
        <f t="shared" si="3"/>
        <v>1.0685749610000002</v>
      </c>
      <c r="E59" s="34">
        <f t="shared" si="3"/>
        <v>1.060003090875</v>
      </c>
      <c r="F59" s="34">
        <f t="shared" si="3"/>
        <v>1.0716392960000001</v>
      </c>
      <c r="G59" s="34">
        <f t="shared" si="3"/>
        <v>1.082954577</v>
      </c>
      <c r="H59" s="34">
        <f t="shared" si="3"/>
        <v>1.0761167520000001</v>
      </c>
      <c r="I59" s="35">
        <f t="shared" si="3"/>
        <v>1.0916319531250001</v>
      </c>
    </row>
    <row r="60" spans="2:9" x14ac:dyDescent="0.2">
      <c r="B60" s="22">
        <v>5</v>
      </c>
      <c r="C60" s="34">
        <f t="shared" si="3"/>
        <v>1.104353255395</v>
      </c>
      <c r="D60" s="34">
        <f t="shared" si="3"/>
        <v>1.0832042860133333</v>
      </c>
      <c r="E60" s="34">
        <f t="shared" si="3"/>
        <v>1.0728037502616667</v>
      </c>
      <c r="F60" s="34">
        <f t="shared" si="3"/>
        <v>1.0878775364266666</v>
      </c>
      <c r="G60" s="34">
        <f t="shared" si="3"/>
        <v>1.1039697365066667</v>
      </c>
      <c r="H60" s="34">
        <f t="shared" si="3"/>
        <v>1.0933698824533333</v>
      </c>
      <c r="I60" s="35">
        <f t="shared" si="3"/>
        <v>1.116067140625</v>
      </c>
    </row>
    <row r="61" spans="2:9" x14ac:dyDescent="0.2">
      <c r="B61" s="22">
        <v>6</v>
      </c>
      <c r="C61" s="34">
        <f t="shared" si="3"/>
        <v>1.1213106593966875</v>
      </c>
      <c r="D61" s="34">
        <f t="shared" si="3"/>
        <v>1.0946448753401667</v>
      </c>
      <c r="E61" s="34">
        <f t="shared" si="3"/>
        <v>1.0828142659226458</v>
      </c>
      <c r="F61" s="34">
        <f t="shared" si="3"/>
        <v>1.1010591668906666</v>
      </c>
      <c r="G61" s="34">
        <f t="shared" si="3"/>
        <v>1.1221644403953333</v>
      </c>
      <c r="H61" s="34">
        <f t="shared" si="3"/>
        <v>1.1073753648213334</v>
      </c>
      <c r="I61" s="35">
        <f t="shared" si="3"/>
        <v>1.1378297294921875</v>
      </c>
    </row>
    <row r="62" spans="2:9" x14ac:dyDescent="0.2">
      <c r="B62" s="22">
        <v>7</v>
      </c>
      <c r="C62" s="34">
        <f t="shared" si="3"/>
        <v>1.1353826958867033</v>
      </c>
      <c r="D62" s="34">
        <f t="shared" si="3"/>
        <v>1.103352203871462</v>
      </c>
      <c r="E62" s="34">
        <f t="shared" si="3"/>
        <v>1.0904331783875294</v>
      </c>
      <c r="F62" s="34">
        <f t="shared" si="3"/>
        <v>1.111569320247296</v>
      </c>
      <c r="G62" s="34">
        <f t="shared" si="3"/>
        <v>1.137801488765936</v>
      </c>
      <c r="H62" s="34">
        <f t="shared" si="3"/>
        <v>1.118542402762752</v>
      </c>
      <c r="I62" s="35">
        <f t="shared" si="3"/>
        <v>1.1571258916210938</v>
      </c>
    </row>
    <row r="63" spans="2:9" ht="13.5" thickBot="1" x14ac:dyDescent="0.25">
      <c r="B63" s="19"/>
      <c r="C63" s="20"/>
      <c r="D63" s="20"/>
      <c r="E63" s="20"/>
      <c r="F63" s="20"/>
      <c r="G63" s="20"/>
      <c r="H63" s="20"/>
      <c r="I63" s="21"/>
    </row>
  </sheetData>
  <mergeCells count="6">
    <mergeCell ref="B2:I2"/>
    <mergeCell ref="B40:I40"/>
    <mergeCell ref="B50:I50"/>
    <mergeCell ref="B28:I28"/>
    <mergeCell ref="B12:I12"/>
    <mergeCell ref="B32:I32"/>
  </mergeCells>
  <phoneticPr fontId="1" type="noConversion"/>
  <printOptions horizontalCentered="1" verticalCentered="1"/>
  <pageMargins left="0.39370078740157483" right="0.39370078740157483" top="0.78740157480314965" bottom="0.78740157480314965" header="0.31496062992125984" footer="0.31496062992125984"/>
  <pageSetup paperSize="9" scale="89" orientation="portrait" r:id="rId1"/>
  <headerFooter alignWithMargins="0">
    <oddHeader>&amp;C&amp;"Arial,Fett"&amp;24&amp;A</oddHeader>
    <oddFooter>&amp;LErstellt von Valerio Casanova (2009)
Überarbeitet von Veikko Baath&amp;C&amp;D&amp;R&amp;F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41"/>
  <sheetViews>
    <sheetView tabSelected="1" zoomScale="90" zoomScaleNormal="9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L19" sqref="L19"/>
    </sheetView>
  </sheetViews>
  <sheetFormatPr baseColWidth="10" defaultColWidth="9.140625" defaultRowHeight="12.75" x14ac:dyDescent="0.2"/>
  <cols>
    <col min="1" max="1" width="3" style="73" bestFit="1" customWidth="1"/>
    <col min="2" max="2" width="5.7109375" style="73" bestFit="1" customWidth="1"/>
    <col min="3" max="3" width="42" style="74" customWidth="1"/>
    <col min="4" max="4" width="4.7109375" style="73" bestFit="1" customWidth="1"/>
    <col min="5" max="5" width="5.7109375" style="73" bestFit="1" customWidth="1"/>
    <col min="6" max="6" width="8.85546875" style="73" bestFit="1" customWidth="1"/>
    <col min="7" max="7" width="4.5703125" style="73" bestFit="1" customWidth="1"/>
    <col min="8" max="8" width="6" style="75" bestFit="1" customWidth="1"/>
    <col min="9" max="9" width="5.7109375" style="75" bestFit="1" customWidth="1"/>
    <col min="10" max="11" width="5.5703125" style="75" bestFit="1" customWidth="1"/>
    <col min="12" max="12" width="8.7109375" style="76" bestFit="1" customWidth="1"/>
    <col min="13" max="13" width="8.7109375" style="71" bestFit="1" customWidth="1"/>
    <col min="14" max="14" width="6" style="71" bestFit="1" customWidth="1"/>
    <col min="15" max="15" width="6.85546875" style="77" bestFit="1" customWidth="1"/>
    <col min="16" max="16" width="9.140625" style="78" bestFit="1" customWidth="1"/>
    <col min="17" max="17" width="8.7109375" style="79" bestFit="1" customWidth="1"/>
    <col min="18" max="18" width="8.7109375" style="71" bestFit="1" customWidth="1"/>
    <col min="19" max="19" width="6" style="75" bestFit="1" customWidth="1"/>
    <col min="20" max="20" width="5.5703125" style="80" bestFit="1" customWidth="1"/>
    <col min="21" max="21" width="9.140625" style="75" bestFit="1" customWidth="1"/>
    <col min="22" max="22" width="7.140625" style="77" customWidth="1"/>
    <col min="23" max="23" width="9" style="77" bestFit="1" customWidth="1"/>
    <col min="24" max="24" width="9" style="77" customWidth="1"/>
    <col min="25" max="25" width="1.5703125" style="71" customWidth="1"/>
    <col min="26" max="26" width="6.140625" style="58" customWidth="1"/>
    <col min="27" max="27" width="5.7109375" style="58" customWidth="1"/>
    <col min="28" max="28" width="8.85546875" style="58" customWidth="1"/>
    <col min="29" max="29" width="9.140625" style="58" bestFit="1" customWidth="1"/>
    <col min="30" max="35" width="7.5703125" style="58" bestFit="1" customWidth="1"/>
    <col min="36" max="16384" width="9.140625" style="58"/>
  </cols>
  <sheetData>
    <row r="1" spans="1:37" s="47" customFormat="1" ht="18.75" thickBot="1" x14ac:dyDescent="0.25">
      <c r="A1" s="155" t="s">
        <v>43</v>
      </c>
      <c r="B1" s="155"/>
      <c r="C1" s="155"/>
      <c r="D1" s="155"/>
      <c r="E1" s="155" t="s">
        <v>44</v>
      </c>
      <c r="F1" s="155"/>
      <c r="G1" s="45"/>
      <c r="H1" s="153" t="s">
        <v>65</v>
      </c>
      <c r="I1" s="153"/>
      <c r="J1" s="153"/>
      <c r="K1" s="153"/>
      <c r="L1" s="157" t="s">
        <v>66</v>
      </c>
      <c r="M1" s="157"/>
      <c r="N1" s="157"/>
      <c r="O1" s="157"/>
      <c r="P1" s="130"/>
      <c r="Q1" s="131"/>
      <c r="R1" s="156" t="s">
        <v>67</v>
      </c>
      <c r="S1" s="156"/>
      <c r="T1" s="156"/>
      <c r="U1" s="156"/>
      <c r="V1" s="154" t="s">
        <v>101</v>
      </c>
      <c r="W1" s="154"/>
      <c r="X1" s="154"/>
      <c r="Y1" s="46"/>
      <c r="Z1" s="135"/>
      <c r="AA1" s="135"/>
      <c r="AB1" s="135"/>
      <c r="AC1" s="135"/>
      <c r="AD1" s="158" t="s">
        <v>105</v>
      </c>
      <c r="AE1" s="159"/>
      <c r="AF1" s="159"/>
      <c r="AG1" s="159"/>
      <c r="AH1" s="159"/>
      <c r="AI1" s="160"/>
      <c r="AJ1" s="135"/>
      <c r="AK1" s="135"/>
    </row>
    <row r="2" spans="1:37" ht="13.5" thickBot="1" x14ac:dyDescent="0.25">
      <c r="A2" s="48" t="s">
        <v>41</v>
      </c>
      <c r="B2" s="48" t="s">
        <v>47</v>
      </c>
      <c r="C2" s="49" t="s">
        <v>43</v>
      </c>
      <c r="D2" s="48" t="s">
        <v>64</v>
      </c>
      <c r="E2" s="48" t="s">
        <v>44</v>
      </c>
      <c r="F2" s="48" t="s">
        <v>63</v>
      </c>
      <c r="G2" s="48" t="s">
        <v>59</v>
      </c>
      <c r="H2" s="50" t="s">
        <v>61</v>
      </c>
      <c r="I2" s="50" t="s">
        <v>44</v>
      </c>
      <c r="J2" s="50" t="s">
        <v>95</v>
      </c>
      <c r="K2" s="50" t="s">
        <v>62</v>
      </c>
      <c r="L2" s="51" t="s">
        <v>52</v>
      </c>
      <c r="M2" s="52" t="s">
        <v>49</v>
      </c>
      <c r="N2" s="52" t="s">
        <v>93</v>
      </c>
      <c r="O2" s="53" t="s">
        <v>55</v>
      </c>
      <c r="P2" s="54" t="s">
        <v>106</v>
      </c>
      <c r="Q2" s="55" t="s">
        <v>48</v>
      </c>
      <c r="R2" s="52" t="s">
        <v>50</v>
      </c>
      <c r="S2" s="50" t="s">
        <v>56</v>
      </c>
      <c r="T2" s="56" t="s">
        <v>57</v>
      </c>
      <c r="U2" s="50" t="s">
        <v>60</v>
      </c>
      <c r="V2" s="53" t="s">
        <v>108</v>
      </c>
      <c r="W2" s="53" t="s">
        <v>68</v>
      </c>
      <c r="X2" s="53" t="s">
        <v>107</v>
      </c>
      <c r="Y2" s="57"/>
      <c r="Z2" s="161" t="s">
        <v>44</v>
      </c>
      <c r="AA2" s="162"/>
      <c r="AB2" s="133" t="s">
        <v>71</v>
      </c>
      <c r="AC2" s="134" t="s">
        <v>46</v>
      </c>
      <c r="AD2" s="147" t="str">
        <f>Parameters!D13</f>
        <v>EL</v>
      </c>
      <c r="AE2" s="148" t="str">
        <f>Parameters!E13</f>
        <v>ST</v>
      </c>
      <c r="AF2" s="148" t="str">
        <f>Parameters!F13</f>
        <v>LBK</v>
      </c>
      <c r="AG2" s="148" t="str">
        <f>Parameters!G13</f>
        <v>LG</v>
      </c>
      <c r="AH2" s="148" t="str">
        <f>Parameters!H13</f>
        <v>BV</v>
      </c>
      <c r="AI2" s="149" t="str">
        <f>Parameters!I13</f>
        <v>SJ</v>
      </c>
    </row>
    <row r="3" spans="1:37" x14ac:dyDescent="0.2">
      <c r="A3" s="59">
        <v>1</v>
      </c>
      <c r="B3" s="61" t="s">
        <v>28</v>
      </c>
      <c r="C3" s="60" t="str">
        <f t="shared" ref="C3:C8" si="0">VLOOKUP(B3,Teilnehmer,3,FALSE)</f>
        <v>Ehrl, Lionel</v>
      </c>
      <c r="D3" s="59" t="str">
        <f t="shared" ref="D3:D40" si="1">VLOOKUP(B3,Teilnehmer,4,FALSE)</f>
        <v>EL</v>
      </c>
      <c r="E3" s="61" t="s">
        <v>14</v>
      </c>
      <c r="F3" s="59" t="str">
        <f t="shared" ref="F3:F34" si="2">E3&amp;D3</f>
        <v>SFEL</v>
      </c>
      <c r="G3" s="59">
        <v>1</v>
      </c>
      <c r="H3" s="62">
        <f t="shared" ref="H3:H40" si="3">VLOOKUP(G3,ErmP,2+CODE(B3)-64,FALSE)</f>
        <v>1</v>
      </c>
      <c r="I3" s="62">
        <f t="shared" ref="I3:I40" si="4">VLOOKUP(E3,SchwierigkeitP,2+CODE(B3)-64,FALSE)</f>
        <v>1</v>
      </c>
      <c r="J3" s="62">
        <f>VLOOKUP(L3-Parameters!$C$33,Zeit,2)</f>
        <v>1</v>
      </c>
      <c r="K3" s="63">
        <f t="shared" ref="K3:K39" si="5">H3*I3*J3</f>
        <v>1</v>
      </c>
      <c r="L3" s="81">
        <v>1.375</v>
      </c>
      <c r="M3" s="82">
        <f>VLOOKUP(F3,TimeBasis!A:B,2,FALSE)*K3</f>
        <v>3.0333333333333334E-2</v>
      </c>
      <c r="N3" s="129">
        <f t="shared" ref="N3:N40" si="6">VLOOKUP(D3,Basis,2,FALSE)*K3</f>
        <v>4.8611111111111112E-3</v>
      </c>
      <c r="O3" s="129"/>
      <c r="P3" s="65" t="str">
        <f>IF(AND(ISNUMBER(Q3),ISNUMBER(R3)),IF(Q3-L3&gt;0,CONCATENATE(TEXT(Q3-L3,"[M]:SS")," +"),CONCATENATE(TEXT(ABS(Q3-L3),"[M]:SS")," -")),"")</f>
        <v>0:00 -</v>
      </c>
      <c r="Q3" s="72">
        <f>Startzeit</f>
        <v>1.375</v>
      </c>
      <c r="R3" s="66">
        <v>2.8692129629629633E-2</v>
      </c>
      <c r="S3" s="142"/>
      <c r="T3" s="67"/>
      <c r="U3" s="62">
        <f>IF(S3&gt;0,S3+T3*Climbfaktor/1000,VLOOKUP($E3,CoursesBasis!B$4:J$15,9,FALSE))</f>
        <v>6.24</v>
      </c>
      <c r="V3" s="64">
        <f>IF(AND(R3&gt;0,U3&gt;0),R3/U3,"")</f>
        <v>4.5980976970560307E-3</v>
      </c>
      <c r="W3" s="64">
        <f t="shared" ref="W3:W40" si="7">IF(ISNUMBER(V3),V3/K3,"")</f>
        <v>4.5980976970560307E-3</v>
      </c>
      <c r="X3" s="64" t="str">
        <f>IF(AND(ISNUMBER(W3),ISNUMBER(N3)),IF(W3-N3&gt;0,CONCATENATE(TEXT(ABS(W3-N3),"[M]:SS")," +"),CONCATENATE(TEXT(ABS(W3-N3),"[M]:SS")," -")),"")</f>
        <v>0:23 -</v>
      </c>
      <c r="Y3" s="68"/>
      <c r="Z3" s="97" t="s">
        <v>14</v>
      </c>
      <c r="AA3" s="126">
        <f t="shared" ref="AA3:AA14" si="8">VLOOKUP(Z3,Courses,2,FALSE)</f>
        <v>1</v>
      </c>
      <c r="AB3" s="127">
        <f t="shared" ref="AB3:AB14" si="9">COUNTIF(E:E,Z3)</f>
        <v>1</v>
      </c>
      <c r="AC3" s="128">
        <f t="shared" ref="AC3:AC14" si="10">AB3-VLOOKUP(Z3,Courses,2,FALSE)</f>
        <v>0</v>
      </c>
      <c r="AD3" s="144">
        <f t="shared" ref="AD3:AI14" ca="1" si="11">VLOOKUP($Z3&amp;AD$2,TimeBasis,5,FALSE)</f>
        <v>2.8692129629629633E-2</v>
      </c>
      <c r="AE3" s="145" t="str">
        <f t="shared" si="11"/>
        <v/>
      </c>
      <c r="AF3" s="145" t="str">
        <f t="shared" si="11"/>
        <v/>
      </c>
      <c r="AG3" s="145" t="str">
        <f t="shared" si="11"/>
        <v/>
      </c>
      <c r="AH3" s="145" t="str">
        <f t="shared" si="11"/>
        <v/>
      </c>
      <c r="AI3" s="146" t="str">
        <f t="shared" si="11"/>
        <v/>
      </c>
    </row>
    <row r="4" spans="1:37" x14ac:dyDescent="0.2">
      <c r="A4" s="59">
        <v>2</v>
      </c>
      <c r="B4" s="61" t="s">
        <v>30</v>
      </c>
      <c r="C4" s="60" t="str">
        <f t="shared" si="0"/>
        <v>Scheler, Thomas</v>
      </c>
      <c r="D4" s="59" t="str">
        <f t="shared" si="1"/>
        <v>ST</v>
      </c>
      <c r="E4" s="61" t="s">
        <v>17</v>
      </c>
      <c r="F4" s="59" t="str">
        <f t="shared" si="2"/>
        <v>LEST</v>
      </c>
      <c r="G4" s="59">
        <v>1</v>
      </c>
      <c r="H4" s="62">
        <f t="shared" si="3"/>
        <v>1</v>
      </c>
      <c r="I4" s="62">
        <f t="shared" si="4"/>
        <v>0.95</v>
      </c>
      <c r="J4" s="62">
        <f>VLOOKUP(L4-Parameters!$C$33,Zeit,2)</f>
        <v>1</v>
      </c>
      <c r="K4" s="63">
        <f t="shared" si="5"/>
        <v>0.95</v>
      </c>
      <c r="L4" s="81">
        <f t="shared" ref="L4:L35" si="12">IF(NOT(ISBLANK(R3)),L3+R3,IF(AND(UPPER(MID($E4,2,1))="T",L3+M3&lt;Twilight),Twilight,L3+M3))</f>
        <v>1.4036921296296296</v>
      </c>
      <c r="M4" s="82">
        <f>VLOOKUP(F4,TimeBasis!A:B,2,FALSE)*K4</f>
        <v>3.6470269097222223E-2</v>
      </c>
      <c r="N4" s="129">
        <f t="shared" si="6"/>
        <v>4.7829861111111111E-3</v>
      </c>
      <c r="O4" s="129" t="str">
        <f>IF(L4-M3-L3&gt;1/24/60/60,L4-M3-L3,"")</f>
        <v/>
      </c>
      <c r="P4" s="65" t="str">
        <f t="shared" ref="P4:P40" si="13">IF(AND(ISNUMBER(Q4),ISNUMBER(R4)),IF(Q4-L4&gt;0,CONCATENATE(TEXT(Q4-L4,"[M]:SS")," +"),CONCATENATE(TEXT(ABS(Q4-L4),"[M]:SS")," -")),"")</f>
        <v>0:00 -</v>
      </c>
      <c r="Q4" s="72">
        <f t="shared" ref="Q4:Q41" si="14">IF(AND(UPPER(MID($E4,2,1))="T",Q3+R3&lt;Twilight),Twilight,Q3+R3)</f>
        <v>1.4036921296296296</v>
      </c>
      <c r="R4" s="66">
        <v>4.2337962962962966E-2</v>
      </c>
      <c r="S4" s="142"/>
      <c r="T4" s="67"/>
      <c r="U4" s="62">
        <f>IF(S4&gt;0,S4+T4*Climbfaktor/1000,VLOOKUP($E4,CoursesBasis!B$4:J$15,9,FALSE))</f>
        <v>7.625</v>
      </c>
      <c r="V4" s="64">
        <f>IF(AND(R4&gt;0,U4&gt;0),R4/U4,"")</f>
        <v>5.5525197328476017E-3</v>
      </c>
      <c r="W4" s="64">
        <f t="shared" si="7"/>
        <v>5.8447576135237916E-3</v>
      </c>
      <c r="X4" s="64" t="str">
        <f t="shared" ref="X4:X40" si="15">IF(AND(ISNUMBER(W4),ISNUMBER(N4)),IF(W4-N4&gt;0,CONCATENATE(TEXT(ABS(W4-N4),"[M]:SS")," +"),CONCATENATE(TEXT(ABS(W4-N4),"[M]:SS")," -")),"")</f>
        <v>1:32 +</v>
      </c>
      <c r="Y4" s="68"/>
      <c r="Z4" s="97" t="s">
        <v>15</v>
      </c>
      <c r="AA4" s="126">
        <f t="shared" si="8"/>
        <v>4</v>
      </c>
      <c r="AB4" s="127">
        <f t="shared" si="9"/>
        <v>4</v>
      </c>
      <c r="AC4" s="128">
        <f t="shared" si="10"/>
        <v>0</v>
      </c>
      <c r="AD4" s="106" t="str">
        <f t="shared" si="11"/>
        <v/>
      </c>
      <c r="AE4" s="99" t="str">
        <f t="shared" si="11"/>
        <v/>
      </c>
      <c r="AF4" s="99">
        <f t="shared" ca="1" si="11"/>
        <v>2.3541666666666666E-2</v>
      </c>
      <c r="AG4" s="99">
        <f t="shared" ca="1" si="11"/>
        <v>2.1747685185185186E-2</v>
      </c>
      <c r="AH4" s="99" t="str">
        <f t="shared" si="11"/>
        <v/>
      </c>
      <c r="AI4" s="107">
        <f t="shared" ca="1" si="11"/>
        <v>2.7418981481481482E-2</v>
      </c>
    </row>
    <row r="5" spans="1:37" x14ac:dyDescent="0.2">
      <c r="A5" s="59">
        <v>3</v>
      </c>
      <c r="B5" s="61" t="s">
        <v>32</v>
      </c>
      <c r="C5" s="60" t="str">
        <f t="shared" si="0"/>
        <v>Lorenz-Baath, Katrin</v>
      </c>
      <c r="D5" s="59" t="str">
        <f t="shared" si="1"/>
        <v>LBK</v>
      </c>
      <c r="E5" s="61" t="s">
        <v>17</v>
      </c>
      <c r="F5" s="59" t="str">
        <f t="shared" si="2"/>
        <v>LELBK</v>
      </c>
      <c r="G5" s="59">
        <v>1</v>
      </c>
      <c r="H5" s="62">
        <f t="shared" si="3"/>
        <v>1</v>
      </c>
      <c r="I5" s="62">
        <f t="shared" si="4"/>
        <v>1.05</v>
      </c>
      <c r="J5" s="62">
        <f>VLOOKUP(L5-Parameters!$C$33,Zeit,2)</f>
        <v>1</v>
      </c>
      <c r="K5" s="63">
        <f t="shared" si="5"/>
        <v>1.05</v>
      </c>
      <c r="L5" s="81">
        <f t="shared" si="12"/>
        <v>1.4460300925925926</v>
      </c>
      <c r="M5" s="82">
        <f>VLOOKUP(F5,TimeBasis!A:B,2,FALSE)*K5</f>
        <v>4.1699218750000003E-2</v>
      </c>
      <c r="N5" s="129">
        <f t="shared" si="6"/>
        <v>5.4687499999999997E-3</v>
      </c>
      <c r="O5" s="129">
        <f t="shared" ref="O5:O40" si="16">IF(L5-M4-L4&gt;1/24/60/60,L5-M4-L4,"")</f>
        <v>5.8676938657407085E-3</v>
      </c>
      <c r="P5" s="65" t="str">
        <f t="shared" si="13"/>
        <v>0:00 -</v>
      </c>
      <c r="Q5" s="72">
        <f t="shared" si="14"/>
        <v>1.4460300925925926</v>
      </c>
      <c r="R5" s="66">
        <v>4.1250000000000002E-2</v>
      </c>
      <c r="S5" s="142">
        <v>6.71</v>
      </c>
      <c r="T5" s="67">
        <v>125</v>
      </c>
      <c r="U5" s="62">
        <f>IF(S5&gt;0,S5+T5*Climbfaktor/1000,VLOOKUP($E5,CoursesBasis!B$4:J$15,9,FALSE))</f>
        <v>7.585</v>
      </c>
      <c r="V5" s="64">
        <f t="shared" ref="V5:V40" si="17">IF(AND(R5&gt;0,U5&gt;0),R5/U5,"")</f>
        <v>5.4383651944627555E-3</v>
      </c>
      <c r="W5" s="64">
        <f t="shared" si="7"/>
        <v>5.1793954232978619E-3</v>
      </c>
      <c r="X5" s="64" t="str">
        <f t="shared" si="15"/>
        <v>0:25 -</v>
      </c>
      <c r="Y5" s="68"/>
      <c r="Z5" s="97" t="s">
        <v>16</v>
      </c>
      <c r="AA5" s="126">
        <f t="shared" si="8"/>
        <v>4</v>
      </c>
      <c r="AB5" s="127">
        <f t="shared" si="9"/>
        <v>4</v>
      </c>
      <c r="AC5" s="128">
        <f t="shared" si="10"/>
        <v>0</v>
      </c>
      <c r="AD5" s="106">
        <f t="shared" ca="1" si="11"/>
        <v>3.050925925925926E-2</v>
      </c>
      <c r="AE5" s="99">
        <f t="shared" ca="1" si="11"/>
        <v>3.1469907407407412E-2</v>
      </c>
      <c r="AF5" s="99" t="str">
        <f t="shared" si="11"/>
        <v/>
      </c>
      <c r="AG5" s="99">
        <f t="shared" ca="1" si="11"/>
        <v>3.2974537037037038E-2</v>
      </c>
      <c r="AH5" s="99">
        <f t="shared" ca="1" si="11"/>
        <v>2.9305555555555557E-2</v>
      </c>
      <c r="AI5" s="107" t="str">
        <f t="shared" si="11"/>
        <v/>
      </c>
    </row>
    <row r="6" spans="1:37" x14ac:dyDescent="0.2">
      <c r="A6" s="59">
        <v>4</v>
      </c>
      <c r="B6" s="61" t="s">
        <v>34</v>
      </c>
      <c r="C6" s="60" t="str">
        <f t="shared" si="0"/>
        <v>Lexen, Gert</v>
      </c>
      <c r="D6" s="59" t="str">
        <f t="shared" si="1"/>
        <v>LG</v>
      </c>
      <c r="E6" s="61" t="s">
        <v>16</v>
      </c>
      <c r="F6" s="59" t="str">
        <f t="shared" si="2"/>
        <v>SDLG</v>
      </c>
      <c r="G6" s="59">
        <v>1</v>
      </c>
      <c r="H6" s="62">
        <f t="shared" si="3"/>
        <v>1</v>
      </c>
      <c r="I6" s="62">
        <f t="shared" si="4"/>
        <v>1.05</v>
      </c>
      <c r="J6" s="62">
        <f>VLOOKUP(L6-Parameters!$C$33,Zeit,2)</f>
        <v>1</v>
      </c>
      <c r="K6" s="63">
        <f t="shared" si="5"/>
        <v>1.05</v>
      </c>
      <c r="L6" s="81">
        <f t="shared" si="12"/>
        <v>1.4872800925925926</v>
      </c>
      <c r="M6" s="82">
        <f>VLOOKUP(F6,TimeBasis!A:B,2,FALSE)*K6</f>
        <v>3.1746093749999996E-2</v>
      </c>
      <c r="N6" s="129">
        <f t="shared" si="6"/>
        <v>5.4687499999999997E-3</v>
      </c>
      <c r="O6" s="129" t="str">
        <f t="shared" si="16"/>
        <v/>
      </c>
      <c r="P6" s="65" t="str">
        <f t="shared" si="13"/>
        <v>0:00 -</v>
      </c>
      <c r="Q6" s="72">
        <f t="shared" si="14"/>
        <v>1.4872800925925926</v>
      </c>
      <c r="R6" s="66">
        <v>3.2974537037037038E-2</v>
      </c>
      <c r="S6" s="142"/>
      <c r="T6" s="67"/>
      <c r="U6" s="62">
        <f>IF(S6&gt;0,S6+T6*Climbfaktor/1000,VLOOKUP($E6,CoursesBasis!B$4:J$15,9,FALSE))</f>
        <v>5.8049999999999997</v>
      </c>
      <c r="V6" s="64">
        <f t="shared" si="17"/>
        <v>5.6803681373018156E-3</v>
      </c>
      <c r="W6" s="64">
        <f t="shared" si="7"/>
        <v>5.4098744164779193E-3</v>
      </c>
      <c r="X6" s="64" t="str">
        <f t="shared" si="15"/>
        <v>0:05 -</v>
      </c>
      <c r="Y6" s="68"/>
      <c r="Z6" s="97" t="s">
        <v>17</v>
      </c>
      <c r="AA6" s="126">
        <f t="shared" si="8"/>
        <v>4</v>
      </c>
      <c r="AB6" s="127">
        <f t="shared" si="9"/>
        <v>4</v>
      </c>
      <c r="AC6" s="128">
        <f t="shared" si="10"/>
        <v>0</v>
      </c>
      <c r="AD6" s="106" t="str">
        <f t="shared" si="11"/>
        <v/>
      </c>
      <c r="AE6" s="99">
        <f t="shared" ca="1" si="11"/>
        <v>4.2337962962962966E-2</v>
      </c>
      <c r="AF6" s="99">
        <f t="shared" ca="1" si="11"/>
        <v>4.1250000000000002E-2</v>
      </c>
      <c r="AG6" s="99" t="str">
        <f t="shared" si="11"/>
        <v/>
      </c>
      <c r="AH6" s="99">
        <f t="shared" ca="1" si="11"/>
        <v>3.5624999999999997E-2</v>
      </c>
      <c r="AI6" s="107" t="str">
        <f t="shared" si="11"/>
        <v/>
      </c>
    </row>
    <row r="7" spans="1:37" x14ac:dyDescent="0.2">
      <c r="A7" s="59">
        <v>5</v>
      </c>
      <c r="B7" s="61" t="s">
        <v>35</v>
      </c>
      <c r="C7" s="60" t="str">
        <f t="shared" si="0"/>
        <v>Baath, Veikko</v>
      </c>
      <c r="D7" s="59" t="str">
        <f t="shared" si="1"/>
        <v>BV</v>
      </c>
      <c r="E7" s="61" t="s">
        <v>17</v>
      </c>
      <c r="F7" s="59" t="str">
        <f t="shared" si="2"/>
        <v>LEBV</v>
      </c>
      <c r="G7" s="59">
        <v>1</v>
      </c>
      <c r="H7" s="62">
        <f t="shared" si="3"/>
        <v>1</v>
      </c>
      <c r="I7" s="62">
        <f t="shared" si="4"/>
        <v>1.05</v>
      </c>
      <c r="J7" s="62">
        <f>VLOOKUP(L7-Parameters!$C$33,Zeit,2)</f>
        <v>1</v>
      </c>
      <c r="K7" s="63">
        <f t="shared" si="5"/>
        <v>1.05</v>
      </c>
      <c r="L7" s="81">
        <f t="shared" si="12"/>
        <v>1.5202546296296298</v>
      </c>
      <c r="M7" s="82">
        <f>VLOOKUP(F7,TimeBasis!A:B,2,FALSE)*K7</f>
        <v>4.1699218750000003E-2</v>
      </c>
      <c r="N7" s="129">
        <f t="shared" si="6"/>
        <v>5.4687499999999997E-3</v>
      </c>
      <c r="O7" s="129">
        <f t="shared" si="16"/>
        <v>1.2284432870370843E-3</v>
      </c>
      <c r="P7" s="65" t="str">
        <f t="shared" si="13"/>
        <v>0:00 -</v>
      </c>
      <c r="Q7" s="72">
        <f t="shared" si="14"/>
        <v>1.5202546296296298</v>
      </c>
      <c r="R7" s="66">
        <v>3.5624999999999997E-2</v>
      </c>
      <c r="S7" s="142">
        <v>6.59</v>
      </c>
      <c r="T7" s="67">
        <v>155</v>
      </c>
      <c r="U7" s="62">
        <f>IF(S7&gt;0,S7+T7*Climbfaktor/1000,VLOOKUP($E7,CoursesBasis!B$4:J$15,9,FALSE))</f>
        <v>7.6749999999999998</v>
      </c>
      <c r="V7" s="64">
        <f t="shared" si="17"/>
        <v>4.6416938110749179E-3</v>
      </c>
      <c r="W7" s="64">
        <f t="shared" si="7"/>
        <v>4.4206607724523025E-3</v>
      </c>
      <c r="X7" s="64" t="str">
        <f t="shared" si="15"/>
        <v>1:31 -</v>
      </c>
      <c r="Y7" s="68"/>
      <c r="Z7" s="97" t="s">
        <v>18</v>
      </c>
      <c r="AA7" s="126">
        <f t="shared" si="8"/>
        <v>3</v>
      </c>
      <c r="AB7" s="127">
        <f t="shared" si="9"/>
        <v>3</v>
      </c>
      <c r="AC7" s="128">
        <f t="shared" si="10"/>
        <v>0</v>
      </c>
      <c r="AD7" s="106">
        <f t="shared" ca="1" si="11"/>
        <v>4.9074074074074076E-2</v>
      </c>
      <c r="AE7" s="99">
        <f t="shared" ca="1" si="11"/>
        <v>2.3958333333333331E-2</v>
      </c>
      <c r="AF7" s="99" t="str">
        <f t="shared" si="11"/>
        <v/>
      </c>
      <c r="AG7" s="99" t="str">
        <f t="shared" si="11"/>
        <v/>
      </c>
      <c r="AH7" s="99" t="str">
        <f t="shared" si="11"/>
        <v/>
      </c>
      <c r="AI7" s="107" t="str">
        <f t="shared" si="11"/>
        <v/>
      </c>
    </row>
    <row r="8" spans="1:37" x14ac:dyDescent="0.2">
      <c r="A8" s="59">
        <v>6</v>
      </c>
      <c r="B8" s="61" t="s">
        <v>37</v>
      </c>
      <c r="C8" s="60" t="str">
        <f t="shared" si="0"/>
        <v>Scheler, Johanna</v>
      </c>
      <c r="D8" s="59" t="str">
        <f t="shared" si="1"/>
        <v>SJ</v>
      </c>
      <c r="E8" s="61" t="s">
        <v>15</v>
      </c>
      <c r="F8" s="59" t="str">
        <f t="shared" si="2"/>
        <v>SESJ</v>
      </c>
      <c r="G8" s="59">
        <v>1</v>
      </c>
      <c r="H8" s="62">
        <f t="shared" si="3"/>
        <v>1</v>
      </c>
      <c r="I8" s="62">
        <f t="shared" si="4"/>
        <v>1.05</v>
      </c>
      <c r="J8" s="62">
        <f>VLOOKUP(L8-Parameters!$C$33,Zeit,2)</f>
        <v>1</v>
      </c>
      <c r="K8" s="63">
        <f t="shared" si="5"/>
        <v>1.05</v>
      </c>
      <c r="L8" s="81">
        <f t="shared" si="12"/>
        <v>1.5558796296296298</v>
      </c>
      <c r="M8" s="82">
        <f>VLOOKUP(F8,TimeBasis!A:B,2,FALSE)*K8</f>
        <v>2.4123749999999999E-2</v>
      </c>
      <c r="N8" s="129">
        <f t="shared" si="6"/>
        <v>5.8333333333333336E-3</v>
      </c>
      <c r="O8" s="129" t="str">
        <f t="shared" si="16"/>
        <v/>
      </c>
      <c r="P8" s="65" t="str">
        <f t="shared" si="13"/>
        <v>0:00 -</v>
      </c>
      <c r="Q8" s="72">
        <f t="shared" si="14"/>
        <v>1.5558796296296298</v>
      </c>
      <c r="R8" s="66">
        <v>2.8888888888888891E-2</v>
      </c>
      <c r="S8" s="142"/>
      <c r="T8" s="67"/>
      <c r="U8" s="62">
        <f>IF(S8&gt;0,S8+T8*Climbfaktor/1000,VLOOKUP($E8,CoursesBasis!B$4:J$15,9,FALSE))</f>
        <v>4.5949999999999998</v>
      </c>
      <c r="V8" s="64">
        <f t="shared" si="17"/>
        <v>6.2870269616733176E-3</v>
      </c>
      <c r="W8" s="64">
        <f t="shared" si="7"/>
        <v>5.9876447254031597E-3</v>
      </c>
      <c r="X8" s="64" t="str">
        <f t="shared" si="15"/>
        <v>0:13 +</v>
      </c>
      <c r="Y8" s="68"/>
      <c r="Z8" s="97" t="s">
        <v>19</v>
      </c>
      <c r="AA8" s="126">
        <f t="shared" si="8"/>
        <v>1</v>
      </c>
      <c r="AB8" s="127">
        <f t="shared" si="9"/>
        <v>1</v>
      </c>
      <c r="AC8" s="128">
        <f t="shared" si="10"/>
        <v>0</v>
      </c>
      <c r="AD8" s="106" t="str">
        <f t="shared" si="11"/>
        <v/>
      </c>
      <c r="AE8" s="99" t="str">
        <f t="shared" si="11"/>
        <v/>
      </c>
      <c r="AF8" s="99">
        <f t="shared" ca="1" si="11"/>
        <v>2.2604166666666665E-2</v>
      </c>
      <c r="AG8" s="99" t="str">
        <f t="shared" si="11"/>
        <v/>
      </c>
      <c r="AH8" s="99" t="str">
        <f t="shared" si="11"/>
        <v/>
      </c>
      <c r="AI8" s="107" t="str">
        <f t="shared" si="11"/>
        <v/>
      </c>
    </row>
    <row r="9" spans="1:37" x14ac:dyDescent="0.2">
      <c r="A9" s="59">
        <v>7</v>
      </c>
      <c r="B9" s="61" t="s">
        <v>28</v>
      </c>
      <c r="C9" s="60" t="str">
        <f t="shared" ref="C9:C40" si="18">VLOOKUP(B9,Teilnehmer,3,FALSE)&amp;IF($L10&gt;Endzeit," - Einlauf nach Zielschluß","")</f>
        <v>Ehrl, Lionel</v>
      </c>
      <c r="D9" s="59" t="str">
        <f t="shared" si="1"/>
        <v>EL</v>
      </c>
      <c r="E9" s="61" t="s">
        <v>18</v>
      </c>
      <c r="F9" s="59" t="str">
        <f t="shared" si="2"/>
        <v>LDEL</v>
      </c>
      <c r="G9" s="59">
        <f t="shared" ref="G9:G40" si="19">G3+1</f>
        <v>2</v>
      </c>
      <c r="H9" s="62">
        <f t="shared" si="3"/>
        <v>1.0276033333333332</v>
      </c>
      <c r="I9" s="62">
        <f t="shared" si="4"/>
        <v>1.05</v>
      </c>
      <c r="J9" s="62">
        <f>VLOOKUP(L9-Parameters!$C$33,Zeit,2)</f>
        <v>1</v>
      </c>
      <c r="K9" s="63">
        <f t="shared" si="5"/>
        <v>1.0789834999999999</v>
      </c>
      <c r="L9" s="81">
        <f t="shared" si="12"/>
        <v>1.5847685185185187</v>
      </c>
      <c r="M9" s="82">
        <f>VLOOKUP(F9,TimeBasis!A:B,2,FALSE)*K9</f>
        <v>5.4907896797395828E-2</v>
      </c>
      <c r="N9" s="129">
        <f t="shared" si="6"/>
        <v>5.245058680555555E-3</v>
      </c>
      <c r="O9" s="129">
        <f t="shared" si="16"/>
        <v>4.7651388888889645E-3</v>
      </c>
      <c r="P9" s="65" t="str">
        <f t="shared" si="13"/>
        <v>0:00 -</v>
      </c>
      <c r="Q9" s="72">
        <f t="shared" si="14"/>
        <v>1.5847685185185187</v>
      </c>
      <c r="R9" s="66">
        <v>4.9074074074074076E-2</v>
      </c>
      <c r="S9" s="142"/>
      <c r="T9" s="67"/>
      <c r="U9" s="62">
        <f>IF(S9&gt;0,S9+T9*Climbfaktor/1000,VLOOKUP($E9,CoursesBasis!B$4:J$15,9,FALSE))</f>
        <v>9.9700000000000006</v>
      </c>
      <c r="V9" s="64">
        <f t="shared" si="17"/>
        <v>4.922173929194992E-3</v>
      </c>
      <c r="W9" s="64">
        <f t="shared" si="7"/>
        <v>4.5618620944574157E-3</v>
      </c>
      <c r="X9" s="64" t="str">
        <f t="shared" si="15"/>
        <v>0:59 -</v>
      </c>
      <c r="Y9" s="68"/>
      <c r="Z9" s="97" t="s">
        <v>20</v>
      </c>
      <c r="AA9" s="126">
        <f t="shared" si="8"/>
        <v>1</v>
      </c>
      <c r="AB9" s="127">
        <f t="shared" si="9"/>
        <v>1</v>
      </c>
      <c r="AC9" s="128">
        <f t="shared" si="10"/>
        <v>0</v>
      </c>
      <c r="AD9" s="106" t="str">
        <f t="shared" si="11"/>
        <v/>
      </c>
      <c r="AE9" s="99" t="str">
        <f t="shared" si="11"/>
        <v/>
      </c>
      <c r="AF9" s="99" t="str">
        <f t="shared" si="11"/>
        <v/>
      </c>
      <c r="AG9" s="99">
        <f t="shared" ca="1" si="11"/>
        <v>3.2546296296296295E-2</v>
      </c>
      <c r="AH9" s="99" t="str">
        <f t="shared" si="11"/>
        <v/>
      </c>
      <c r="AI9" s="107" t="str">
        <f t="shared" si="11"/>
        <v/>
      </c>
    </row>
    <row r="10" spans="1:37" x14ac:dyDescent="0.2">
      <c r="A10" s="59">
        <v>8</v>
      </c>
      <c r="B10" s="61" t="s">
        <v>30</v>
      </c>
      <c r="C10" s="60" t="str">
        <f t="shared" si="18"/>
        <v>Scheler, Thomas</v>
      </c>
      <c r="D10" s="59" t="str">
        <f t="shared" si="1"/>
        <v>ST</v>
      </c>
      <c r="E10" s="61" t="s">
        <v>18</v>
      </c>
      <c r="F10" s="59" t="str">
        <f t="shared" si="2"/>
        <v>LDST</v>
      </c>
      <c r="G10" s="59">
        <f t="shared" si="19"/>
        <v>2</v>
      </c>
      <c r="H10" s="62">
        <f t="shared" si="3"/>
        <v>1.0241529166666667</v>
      </c>
      <c r="I10" s="62">
        <f t="shared" si="4"/>
        <v>1</v>
      </c>
      <c r="J10" s="62">
        <f>VLOOKUP(L10-Parameters!$C$33,Zeit,2)</f>
        <v>1</v>
      </c>
      <c r="K10" s="63">
        <f t="shared" si="5"/>
        <v>1.0241529166666667</v>
      </c>
      <c r="L10" s="81">
        <f t="shared" si="12"/>
        <v>1.6338425925925928</v>
      </c>
      <c r="M10" s="82">
        <f>VLOOKUP(F10,TimeBasis!A:B,2,FALSE)*K10</f>
        <v>5.3978992957573795E-2</v>
      </c>
      <c r="N10" s="129">
        <f t="shared" si="6"/>
        <v>5.1563254484953708E-3</v>
      </c>
      <c r="O10" s="129" t="str">
        <f t="shared" si="16"/>
        <v/>
      </c>
      <c r="P10" s="65" t="str">
        <f t="shared" si="13"/>
        <v>0:00 -</v>
      </c>
      <c r="Q10" s="72">
        <f t="shared" si="14"/>
        <v>1.6338425925925928</v>
      </c>
      <c r="R10" s="66">
        <v>4.7916666666666663E-2</v>
      </c>
      <c r="S10" s="142"/>
      <c r="T10" s="67"/>
      <c r="U10" s="62">
        <f>IF(S10&gt;0,S10+T10*Climbfaktor/1000,VLOOKUP($E10,CoursesBasis!B$4:J$15,9,FALSE))</f>
        <v>9.9700000000000006</v>
      </c>
      <c r="V10" s="64">
        <f t="shared" si="17"/>
        <v>4.8060849214309588E-3</v>
      </c>
      <c r="W10" s="64">
        <f t="shared" si="7"/>
        <v>4.6927415264054811E-3</v>
      </c>
      <c r="X10" s="64" t="str">
        <f t="shared" si="15"/>
        <v>0:40 -</v>
      </c>
      <c r="Y10" s="68"/>
      <c r="Z10" s="97" t="s">
        <v>21</v>
      </c>
      <c r="AA10" s="126">
        <f t="shared" si="8"/>
        <v>5</v>
      </c>
      <c r="AB10" s="127">
        <f t="shared" si="9"/>
        <v>5</v>
      </c>
      <c r="AC10" s="128">
        <f t="shared" si="10"/>
        <v>0</v>
      </c>
      <c r="AD10" s="106" t="str">
        <f t="shared" si="11"/>
        <v/>
      </c>
      <c r="AE10" s="99">
        <f t="shared" ca="1" si="11"/>
        <v>2.2314814814814815E-2</v>
      </c>
      <c r="AF10" s="99">
        <f t="shared" ca="1" si="11"/>
        <v>2.2187499999999999E-2</v>
      </c>
      <c r="AG10" s="99">
        <f t="shared" ca="1" si="11"/>
        <v>1.8171296296296297E-2</v>
      </c>
      <c r="AH10" s="99" t="str">
        <f t="shared" si="11"/>
        <v/>
      </c>
      <c r="AI10" s="107">
        <f t="shared" ca="1" si="11"/>
        <v>2.3593749999999997E-2</v>
      </c>
    </row>
    <row r="11" spans="1:37" x14ac:dyDescent="0.2">
      <c r="A11" s="59">
        <v>9</v>
      </c>
      <c r="B11" s="61" t="s">
        <v>32</v>
      </c>
      <c r="C11" s="60" t="str">
        <f t="shared" si="18"/>
        <v>Lorenz-Baath, Katrin</v>
      </c>
      <c r="D11" s="59" t="str">
        <f t="shared" si="1"/>
        <v>LBK</v>
      </c>
      <c r="E11" s="61" t="s">
        <v>15</v>
      </c>
      <c r="F11" s="59" t="str">
        <f t="shared" si="2"/>
        <v>SELBK</v>
      </c>
      <c r="G11" s="59">
        <f t="shared" si="19"/>
        <v>2</v>
      </c>
      <c r="H11" s="62">
        <f t="shared" si="3"/>
        <v>1.0282133333333332</v>
      </c>
      <c r="I11" s="62">
        <f t="shared" si="4"/>
        <v>0.95</v>
      </c>
      <c r="J11" s="62">
        <f>VLOOKUP(L11-Parameters!$C$33,Zeit,2)</f>
        <v>1</v>
      </c>
      <c r="K11" s="63">
        <f t="shared" si="5"/>
        <v>0.97680266666666649</v>
      </c>
      <c r="L11" s="81">
        <f t="shared" si="12"/>
        <v>1.6817592592592594</v>
      </c>
      <c r="M11" s="82">
        <f>VLOOKUP(F11,TimeBasis!A:B,2,FALSE)*K11</f>
        <v>2.1039413687499994E-2</v>
      </c>
      <c r="N11" s="129">
        <f t="shared" si="6"/>
        <v>5.0875138888888879E-3</v>
      </c>
      <c r="O11" s="129" t="str">
        <f t="shared" si="16"/>
        <v/>
      </c>
      <c r="P11" s="65" t="str">
        <f t="shared" si="13"/>
        <v>0:00 -</v>
      </c>
      <c r="Q11" s="72">
        <f t="shared" si="14"/>
        <v>1.6817592592592594</v>
      </c>
      <c r="R11" s="66">
        <v>2.3541666666666666E-2</v>
      </c>
      <c r="S11" s="142">
        <v>4.0199999999999996</v>
      </c>
      <c r="T11" s="67">
        <v>75</v>
      </c>
      <c r="U11" s="62">
        <f>IF(S11&gt;0,S11+T11*Climbfaktor/1000,VLOOKUP($E11,CoursesBasis!B$4:J$15,9,FALSE))</f>
        <v>4.5449999999999999</v>
      </c>
      <c r="V11" s="64">
        <f t="shared" si="17"/>
        <v>5.1796846351301797E-3</v>
      </c>
      <c r="W11" s="64">
        <f t="shared" si="7"/>
        <v>5.3026929715556817E-3</v>
      </c>
      <c r="X11" s="64" t="str">
        <f t="shared" si="15"/>
        <v>0:19 +</v>
      </c>
      <c r="Y11" s="68"/>
      <c r="Z11" s="97" t="s">
        <v>22</v>
      </c>
      <c r="AA11" s="126">
        <f t="shared" si="8"/>
        <v>3</v>
      </c>
      <c r="AB11" s="127">
        <f t="shared" si="9"/>
        <v>3</v>
      </c>
      <c r="AC11" s="128">
        <f t="shared" si="10"/>
        <v>0</v>
      </c>
      <c r="AD11" s="106">
        <f t="shared" ca="1" si="11"/>
        <v>3.5949074074074071E-2</v>
      </c>
      <c r="AE11" s="99" t="str">
        <f t="shared" si="11"/>
        <v/>
      </c>
      <c r="AF11" s="99">
        <f t="shared" ca="1" si="11"/>
        <v>2.7962962962962964E-2</v>
      </c>
      <c r="AG11" s="99" t="str">
        <f t="shared" si="11"/>
        <v/>
      </c>
      <c r="AH11" s="99">
        <f t="shared" ca="1" si="11"/>
        <v>3.3263888888888891E-2</v>
      </c>
      <c r="AI11" s="107" t="str">
        <f t="shared" si="11"/>
        <v/>
      </c>
    </row>
    <row r="12" spans="1:37" x14ac:dyDescent="0.2">
      <c r="A12" s="59">
        <v>10</v>
      </c>
      <c r="B12" s="61" t="s">
        <v>34</v>
      </c>
      <c r="C12" s="60" t="str">
        <f t="shared" si="18"/>
        <v>Lexen, Gert</v>
      </c>
      <c r="D12" s="59" t="str">
        <f t="shared" si="1"/>
        <v>LG</v>
      </c>
      <c r="E12" s="61" t="s">
        <v>15</v>
      </c>
      <c r="F12" s="59" t="str">
        <f t="shared" si="2"/>
        <v>SELG</v>
      </c>
      <c r="G12" s="59">
        <f t="shared" si="19"/>
        <v>2</v>
      </c>
      <c r="H12" s="62">
        <f t="shared" si="3"/>
        <v>1.0312941666666666</v>
      </c>
      <c r="I12" s="62">
        <f t="shared" si="4"/>
        <v>0.9</v>
      </c>
      <c r="J12" s="62">
        <f>VLOOKUP(L12-Parameters!$C$33,Zeit,2)</f>
        <v>1</v>
      </c>
      <c r="K12" s="63">
        <f t="shared" si="5"/>
        <v>0.92816474999999998</v>
      </c>
      <c r="L12" s="81">
        <f t="shared" si="12"/>
        <v>1.705300925925926</v>
      </c>
      <c r="M12" s="82">
        <f>VLOOKUP(F12,TimeBasis!A:B,2,FALSE)*K12</f>
        <v>1.9991798560546871E-2</v>
      </c>
      <c r="N12" s="129">
        <f t="shared" si="6"/>
        <v>4.8341914062499996E-3</v>
      </c>
      <c r="O12" s="129">
        <f t="shared" si="16"/>
        <v>2.5022529791665082E-3</v>
      </c>
      <c r="P12" s="65" t="str">
        <f t="shared" si="13"/>
        <v>0:00 -</v>
      </c>
      <c r="Q12" s="72">
        <f t="shared" si="14"/>
        <v>1.705300925925926</v>
      </c>
      <c r="R12" s="66">
        <v>2.1747685185185186E-2</v>
      </c>
      <c r="S12" s="142"/>
      <c r="T12" s="67"/>
      <c r="U12" s="62">
        <f>IF(S12&gt;0,S12+T12*Climbfaktor/1000,VLOOKUP($E12,CoursesBasis!B$4:J$15,9,FALSE))</f>
        <v>4.5949999999999998</v>
      </c>
      <c r="V12" s="64">
        <f t="shared" si="17"/>
        <v>4.732902107766091E-3</v>
      </c>
      <c r="W12" s="64">
        <f t="shared" si="7"/>
        <v>5.0992047562311441E-3</v>
      </c>
      <c r="X12" s="64" t="str">
        <f t="shared" si="15"/>
        <v>0:23 +</v>
      </c>
      <c r="Y12" s="68"/>
      <c r="Z12" s="97" t="s">
        <v>23</v>
      </c>
      <c r="AA12" s="126">
        <f t="shared" si="8"/>
        <v>3</v>
      </c>
      <c r="AB12" s="127">
        <f t="shared" si="9"/>
        <v>3</v>
      </c>
      <c r="AC12" s="128">
        <f t="shared" si="10"/>
        <v>0</v>
      </c>
      <c r="AD12" s="106">
        <f t="shared" ca="1" si="11"/>
        <v>4.2534722222222217E-2</v>
      </c>
      <c r="AE12" s="99">
        <f t="shared" ca="1" si="11"/>
        <v>4.2083333333333334E-2</v>
      </c>
      <c r="AF12" s="99" t="str">
        <f t="shared" si="11"/>
        <v/>
      </c>
      <c r="AG12" s="99" t="str">
        <f t="shared" si="11"/>
        <v/>
      </c>
      <c r="AH12" s="99">
        <f t="shared" ca="1" si="11"/>
        <v>4.5486111111111109E-2</v>
      </c>
      <c r="AI12" s="107" t="str">
        <f t="shared" si="11"/>
        <v/>
      </c>
    </row>
    <row r="13" spans="1:37" x14ac:dyDescent="0.2">
      <c r="A13" s="59">
        <v>11</v>
      </c>
      <c r="B13" s="61" t="s">
        <v>35</v>
      </c>
      <c r="C13" s="60" t="str">
        <f t="shared" si="18"/>
        <v>Baath, Veikko</v>
      </c>
      <c r="D13" s="59" t="str">
        <f t="shared" si="1"/>
        <v>BV</v>
      </c>
      <c r="E13" s="61" t="s">
        <v>16</v>
      </c>
      <c r="F13" s="59" t="str">
        <f t="shared" si="2"/>
        <v>SDBV</v>
      </c>
      <c r="G13" s="59">
        <f t="shared" si="19"/>
        <v>2</v>
      </c>
      <c r="H13" s="62">
        <f t="shared" si="3"/>
        <v>1.0299766666666665</v>
      </c>
      <c r="I13" s="62">
        <f t="shared" si="4"/>
        <v>1.05</v>
      </c>
      <c r="J13" s="62">
        <f>VLOOKUP(L13-Parameters!$C$33,Zeit,2)</f>
        <v>1</v>
      </c>
      <c r="K13" s="63">
        <f t="shared" si="5"/>
        <v>1.0814754999999998</v>
      </c>
      <c r="L13" s="81">
        <f t="shared" si="12"/>
        <v>1.7270486111111112</v>
      </c>
      <c r="M13" s="82">
        <f>VLOOKUP(F13,TimeBasis!A:B,2,FALSE)*K13</f>
        <v>3.269773582031249E-2</v>
      </c>
      <c r="N13" s="129">
        <f t="shared" si="6"/>
        <v>5.6326848958333318E-3</v>
      </c>
      <c r="O13" s="129">
        <f t="shared" si="16"/>
        <v>1.7558866246383253E-3</v>
      </c>
      <c r="P13" s="65" t="str">
        <f t="shared" si="13"/>
        <v>0:00 -</v>
      </c>
      <c r="Q13" s="72">
        <f t="shared" si="14"/>
        <v>1.7270486111111112</v>
      </c>
      <c r="R13" s="66">
        <v>2.9305555555555557E-2</v>
      </c>
      <c r="S13" s="142">
        <v>5.04</v>
      </c>
      <c r="T13" s="67">
        <v>100</v>
      </c>
      <c r="U13" s="62">
        <f>IF(S13&gt;0,S13+T13*Climbfaktor/1000,VLOOKUP($E13,CoursesBasis!B$4:J$15,9,FALSE))</f>
        <v>5.74</v>
      </c>
      <c r="V13" s="64">
        <f t="shared" si="17"/>
        <v>5.1054974835462643E-3</v>
      </c>
      <c r="W13" s="64">
        <f t="shared" si="7"/>
        <v>4.7208628244895653E-3</v>
      </c>
      <c r="X13" s="64" t="str">
        <f t="shared" si="15"/>
        <v>1:19 -</v>
      </c>
      <c r="Y13" s="68"/>
      <c r="Z13" s="97" t="s">
        <v>24</v>
      </c>
      <c r="AA13" s="126">
        <f t="shared" si="8"/>
        <v>3</v>
      </c>
      <c r="AB13" s="127">
        <f t="shared" si="9"/>
        <v>3</v>
      </c>
      <c r="AC13" s="128">
        <f t="shared" si="10"/>
        <v>0</v>
      </c>
      <c r="AD13" s="106" t="str">
        <f t="shared" si="11"/>
        <v/>
      </c>
      <c r="AE13" s="99" t="str">
        <f t="shared" si="11"/>
        <v/>
      </c>
      <c r="AF13" s="99" t="str">
        <f t="shared" si="11"/>
        <v/>
      </c>
      <c r="AG13" s="99">
        <f t="shared" ca="1" si="11"/>
        <v>5.4085648148148147E-2</v>
      </c>
      <c r="AH13" s="99">
        <f t="shared" ca="1" si="11"/>
        <v>5.7187500000000002E-2</v>
      </c>
      <c r="AI13" s="107" t="str">
        <f t="shared" si="11"/>
        <v/>
      </c>
    </row>
    <row r="14" spans="1:37" ht="13.5" thickBot="1" x14ac:dyDescent="0.25">
      <c r="A14" s="59">
        <v>12</v>
      </c>
      <c r="B14" s="61" t="s">
        <v>37</v>
      </c>
      <c r="C14" s="60" t="str">
        <f t="shared" si="18"/>
        <v>Scheler, Johanna</v>
      </c>
      <c r="D14" s="59" t="str">
        <f t="shared" si="1"/>
        <v>SJ</v>
      </c>
      <c r="E14" s="61" t="s">
        <v>15</v>
      </c>
      <c r="F14" s="59" t="str">
        <f t="shared" si="2"/>
        <v>SESJ</v>
      </c>
      <c r="G14" s="59">
        <f t="shared" si="19"/>
        <v>2</v>
      </c>
      <c r="H14" s="62">
        <f t="shared" si="3"/>
        <v>1.03384375</v>
      </c>
      <c r="I14" s="62">
        <f t="shared" si="4"/>
        <v>1.05</v>
      </c>
      <c r="J14" s="62">
        <f>VLOOKUP(L14-Parameters!$C$33,Zeit,2)</f>
        <v>1</v>
      </c>
      <c r="K14" s="63">
        <f t="shared" si="5"/>
        <v>1.0855359375</v>
      </c>
      <c r="L14" s="81">
        <f t="shared" si="12"/>
        <v>1.7563541666666667</v>
      </c>
      <c r="M14" s="82">
        <f>VLOOKUP(F14,TimeBasis!A:B,2,FALSE)*K14</f>
        <v>2.4940188164062498E-2</v>
      </c>
      <c r="N14" s="129">
        <f t="shared" si="6"/>
        <v>6.0307552083333337E-3</v>
      </c>
      <c r="O14" s="129" t="str">
        <f t="shared" si="16"/>
        <v/>
      </c>
      <c r="P14" s="65" t="str">
        <f t="shared" si="13"/>
        <v>0:00 -</v>
      </c>
      <c r="Q14" s="72">
        <f t="shared" si="14"/>
        <v>1.7563541666666667</v>
      </c>
      <c r="R14" s="66">
        <v>2.5949074074074072E-2</v>
      </c>
      <c r="S14" s="142"/>
      <c r="T14" s="67"/>
      <c r="U14" s="62">
        <f>IF(S14&gt;0,S14+T14*Climbfaktor/1000,VLOOKUP($E14,CoursesBasis!B$4:J$15,9,FALSE))</f>
        <v>4.5949999999999998</v>
      </c>
      <c r="V14" s="64">
        <f t="shared" si="17"/>
        <v>5.6472413654132915E-3</v>
      </c>
      <c r="W14" s="64">
        <f t="shared" si="7"/>
        <v>5.2022610862786766E-3</v>
      </c>
      <c r="X14" s="64" t="str">
        <f t="shared" si="15"/>
        <v>1:12 -</v>
      </c>
      <c r="Y14" s="68"/>
      <c r="Z14" s="97" t="s">
        <v>25</v>
      </c>
      <c r="AA14" s="126">
        <f t="shared" si="8"/>
        <v>6</v>
      </c>
      <c r="AB14" s="127">
        <f t="shared" si="9"/>
        <v>6</v>
      </c>
      <c r="AC14" s="128">
        <f t="shared" si="10"/>
        <v>0</v>
      </c>
      <c r="AD14" s="108" t="str">
        <f t="shared" si="11"/>
        <v/>
      </c>
      <c r="AE14" s="109" t="str">
        <f t="shared" si="11"/>
        <v/>
      </c>
      <c r="AF14" s="109" t="str">
        <f t="shared" si="11"/>
        <v/>
      </c>
      <c r="AG14" s="109" t="str">
        <f t="shared" si="11"/>
        <v/>
      </c>
      <c r="AH14" s="109" t="str">
        <f t="shared" si="11"/>
        <v/>
      </c>
      <c r="AI14" s="110" t="str">
        <f t="shared" si="11"/>
        <v/>
      </c>
    </row>
    <row r="15" spans="1:37" x14ac:dyDescent="0.2">
      <c r="A15" s="59">
        <v>13</v>
      </c>
      <c r="B15" s="61" t="s">
        <v>28</v>
      </c>
      <c r="C15" s="60" t="str">
        <f t="shared" si="18"/>
        <v>Ehrl, Lionel</v>
      </c>
      <c r="D15" s="59" t="str">
        <f t="shared" si="1"/>
        <v>EL</v>
      </c>
      <c r="E15" s="61" t="s">
        <v>16</v>
      </c>
      <c r="F15" s="59" t="str">
        <f t="shared" si="2"/>
        <v>SDEL</v>
      </c>
      <c r="G15" s="59">
        <f t="shared" si="19"/>
        <v>3</v>
      </c>
      <c r="H15" s="62">
        <f t="shared" si="3"/>
        <v>1.0502380666666666</v>
      </c>
      <c r="I15" s="62">
        <f t="shared" si="4"/>
        <v>1</v>
      </c>
      <c r="J15" s="62">
        <f>VLOOKUP(L15-Parameters!$C$33,Zeit,2)</f>
        <v>1</v>
      </c>
      <c r="K15" s="63">
        <f t="shared" si="5"/>
        <v>1.0502380666666666</v>
      </c>
      <c r="L15" s="81">
        <f t="shared" si="12"/>
        <v>1.7823032407407406</v>
      </c>
      <c r="M15" s="82">
        <f>VLOOKUP(F15,TimeBasis!A:B,2,FALSE)*K15</f>
        <v>2.963640544375E-2</v>
      </c>
      <c r="N15" s="129">
        <f t="shared" si="6"/>
        <v>5.1053239351851855E-3</v>
      </c>
      <c r="O15" s="129">
        <f t="shared" si="16"/>
        <v>1.00888591001147E-3</v>
      </c>
      <c r="P15" s="65" t="str">
        <f t="shared" si="13"/>
        <v>0:00 -</v>
      </c>
      <c r="Q15" s="72">
        <f t="shared" si="14"/>
        <v>1.7823032407407406</v>
      </c>
      <c r="R15" s="66">
        <v>3.050925925925926E-2</v>
      </c>
      <c r="S15" s="142"/>
      <c r="T15" s="67"/>
      <c r="U15" s="62">
        <f>IF(S15&gt;0,S15+T15*Climbfaktor/1000,VLOOKUP($E15,CoursesBasis!B$4:J$15,9,FALSE))</f>
        <v>5.8049999999999997</v>
      </c>
      <c r="V15" s="64">
        <f t="shared" si="17"/>
        <v>5.255686349570932E-3</v>
      </c>
      <c r="W15" s="64">
        <f t="shared" si="7"/>
        <v>5.0042809496059007E-3</v>
      </c>
      <c r="X15" s="64" t="str">
        <f t="shared" si="15"/>
        <v>0:09 -</v>
      </c>
      <c r="Y15" s="68"/>
      <c r="Z15" s="97"/>
      <c r="AA15" s="97"/>
      <c r="AB15" s="98">
        <f>SUM(AB3:AB14)</f>
        <v>38</v>
      </c>
      <c r="AC15" s="98">
        <f>SUM(AC3:AC14)</f>
        <v>0</v>
      </c>
    </row>
    <row r="16" spans="1:37" x14ac:dyDescent="0.2">
      <c r="A16" s="59">
        <v>14</v>
      </c>
      <c r="B16" s="61" t="s">
        <v>30</v>
      </c>
      <c r="C16" s="60" t="str">
        <f t="shared" si="18"/>
        <v>Scheler, Thomas</v>
      </c>
      <c r="D16" s="59" t="str">
        <f t="shared" si="1"/>
        <v>ST</v>
      </c>
      <c r="E16" s="61" t="s">
        <v>16</v>
      </c>
      <c r="F16" s="59" t="str">
        <f t="shared" si="2"/>
        <v>SDST</v>
      </c>
      <c r="G16" s="59">
        <f t="shared" si="19"/>
        <v>3</v>
      </c>
      <c r="H16" s="62">
        <f t="shared" si="3"/>
        <v>1.0439583083333333</v>
      </c>
      <c r="I16" s="62">
        <f t="shared" si="4"/>
        <v>0.95</v>
      </c>
      <c r="J16" s="62">
        <f>VLOOKUP(L16-Parameters!$C$33,Zeit,2)</f>
        <v>1.02</v>
      </c>
      <c r="K16" s="63">
        <f t="shared" si="5"/>
        <v>1.0115956007749998</v>
      </c>
      <c r="L16" s="81">
        <f t="shared" si="12"/>
        <v>1.8128124999999999</v>
      </c>
      <c r="M16" s="82">
        <f>VLOOKUP(F16,TimeBasis!A:B,2,FALSE)*K16</f>
        <v>2.9565462050775579E-2</v>
      </c>
      <c r="N16" s="129">
        <f t="shared" si="6"/>
        <v>5.0931028511241308E-3</v>
      </c>
      <c r="O16" s="129">
        <f t="shared" si="16"/>
        <v>8.7285381550938901E-4</v>
      </c>
      <c r="P16" s="65" t="str">
        <f t="shared" si="13"/>
        <v>0:00 -</v>
      </c>
      <c r="Q16" s="72">
        <f t="shared" si="14"/>
        <v>1.8128124999999999</v>
      </c>
      <c r="R16" s="66">
        <v>3.1469907407407412E-2</v>
      </c>
      <c r="S16" s="142"/>
      <c r="T16" s="67"/>
      <c r="U16" s="62">
        <f>IF(S16&gt;0,S16+T16*Climbfaktor/1000,VLOOKUP($E16,CoursesBasis!B$4:J$15,9,FALSE))</f>
        <v>5.8049999999999997</v>
      </c>
      <c r="V16" s="64">
        <f t="shared" si="17"/>
        <v>5.4211726800012768E-3</v>
      </c>
      <c r="W16" s="64">
        <f t="shared" si="7"/>
        <v>5.3590314902991158E-3</v>
      </c>
      <c r="X16" s="64" t="str">
        <f t="shared" si="15"/>
        <v>0:23 +</v>
      </c>
      <c r="Y16" s="68"/>
    </row>
    <row r="17" spans="1:35" x14ac:dyDescent="0.2">
      <c r="A17" s="59">
        <v>15</v>
      </c>
      <c r="B17" s="61" t="s">
        <v>32</v>
      </c>
      <c r="C17" s="60" t="str">
        <f t="shared" si="18"/>
        <v>Lorenz-Baath, Katrin</v>
      </c>
      <c r="D17" s="59" t="str">
        <f t="shared" si="1"/>
        <v>LBK</v>
      </c>
      <c r="E17" s="61" t="s">
        <v>19</v>
      </c>
      <c r="F17" s="59" t="str">
        <f t="shared" si="2"/>
        <v>STLBK</v>
      </c>
      <c r="G17" s="59">
        <f t="shared" si="19"/>
        <v>3</v>
      </c>
      <c r="H17" s="62">
        <f t="shared" si="3"/>
        <v>1.0519125333333335</v>
      </c>
      <c r="I17" s="62">
        <f t="shared" si="4"/>
        <v>0.9</v>
      </c>
      <c r="J17" s="62">
        <f>VLOOKUP(L17-Parameters!$C$33,Zeit,2)</f>
        <v>1.02</v>
      </c>
      <c r="K17" s="63">
        <f t="shared" si="5"/>
        <v>0.96565570560000014</v>
      </c>
      <c r="L17" s="81">
        <f t="shared" si="12"/>
        <v>1.8442824074074073</v>
      </c>
      <c r="M17" s="82">
        <f>VLOOKUP(F17,TimeBasis!A:B,2,FALSE)*K17</f>
        <v>1.9282937371200001E-2</v>
      </c>
      <c r="N17" s="129">
        <f t="shared" si="6"/>
        <v>5.0294568000000001E-3</v>
      </c>
      <c r="O17" s="129">
        <f t="shared" si="16"/>
        <v>1.904445356631923E-3</v>
      </c>
      <c r="P17" s="65" t="str">
        <f t="shared" si="13"/>
        <v>0:00 -</v>
      </c>
      <c r="Q17" s="72">
        <f t="shared" si="14"/>
        <v>1.8442824074074073</v>
      </c>
      <c r="R17" s="66">
        <v>2.2604166666666665E-2</v>
      </c>
      <c r="S17" s="142">
        <v>3.69</v>
      </c>
      <c r="T17" s="67">
        <v>80</v>
      </c>
      <c r="U17" s="62">
        <f>IF(S17&gt;0,S17+T17*Climbfaktor/1000,VLOOKUP($E17,CoursesBasis!B$4:J$15,9,FALSE))</f>
        <v>4.25</v>
      </c>
      <c r="V17" s="64">
        <f t="shared" si="17"/>
        <v>5.3186274509803913E-3</v>
      </c>
      <c r="W17" s="64">
        <f t="shared" si="7"/>
        <v>5.5077885628767838E-3</v>
      </c>
      <c r="X17" s="64" t="str">
        <f t="shared" si="15"/>
        <v>0:41 +</v>
      </c>
      <c r="Y17" s="68"/>
      <c r="Z17" s="166" t="s">
        <v>43</v>
      </c>
      <c r="AA17" s="167"/>
      <c r="AB17" s="168"/>
      <c r="AC17" s="96" t="s">
        <v>62</v>
      </c>
      <c r="AD17" s="96" t="s">
        <v>56</v>
      </c>
      <c r="AE17" s="96" t="s">
        <v>57</v>
      </c>
      <c r="AF17" s="96" t="s">
        <v>60</v>
      </c>
      <c r="AG17" s="96" t="s">
        <v>93</v>
      </c>
      <c r="AH17" s="100" t="s">
        <v>94</v>
      </c>
      <c r="AI17" s="100" t="s">
        <v>69</v>
      </c>
    </row>
    <row r="18" spans="1:35" x14ac:dyDescent="0.2">
      <c r="A18" s="59">
        <v>16</v>
      </c>
      <c r="B18" s="61" t="s">
        <v>34</v>
      </c>
      <c r="C18" s="60" t="str">
        <f t="shared" si="18"/>
        <v>Lexen, Gert</v>
      </c>
      <c r="D18" s="59" t="str">
        <f t="shared" si="1"/>
        <v>LG</v>
      </c>
      <c r="E18" s="61" t="s">
        <v>20</v>
      </c>
      <c r="F18" s="59" t="str">
        <f t="shared" si="2"/>
        <v>LTLG</v>
      </c>
      <c r="G18" s="59">
        <f t="shared" si="19"/>
        <v>3</v>
      </c>
      <c r="H18" s="62">
        <f t="shared" si="3"/>
        <v>1.0588330333333333</v>
      </c>
      <c r="I18" s="62">
        <f t="shared" si="4"/>
        <v>1</v>
      </c>
      <c r="J18" s="62">
        <f>VLOOKUP(L18-Parameters!$C$33,Zeit,2)</f>
        <v>1.07</v>
      </c>
      <c r="K18" s="63">
        <f t="shared" si="5"/>
        <v>1.1329513456666667</v>
      </c>
      <c r="L18" s="81">
        <f t="shared" si="12"/>
        <v>1.8668865740740741</v>
      </c>
      <c r="M18" s="82">
        <f>VLOOKUP(F18,TimeBasis!A:B,2,FALSE)*K18</f>
        <v>3.5286713786909722E-2</v>
      </c>
      <c r="N18" s="129">
        <f t="shared" si="6"/>
        <v>5.900788258680555E-3</v>
      </c>
      <c r="O18" s="129">
        <f t="shared" si="16"/>
        <v>3.3212292954667433E-3</v>
      </c>
      <c r="P18" s="65" t="str">
        <f t="shared" si="13"/>
        <v>0:00 -</v>
      </c>
      <c r="Q18" s="72">
        <f t="shared" si="14"/>
        <v>1.8668865740740741</v>
      </c>
      <c r="R18" s="66">
        <v>3.2546296296296295E-2</v>
      </c>
      <c r="S18" s="142"/>
      <c r="T18" s="67"/>
      <c r="U18" s="62">
        <f>IF(S18&gt;0,S18+T18*Climbfaktor/1000,VLOOKUP($E18,CoursesBasis!B$4:J$15,9,FALSE))</f>
        <v>5.98</v>
      </c>
      <c r="V18" s="64">
        <f t="shared" si="17"/>
        <v>5.4425244642635944E-3</v>
      </c>
      <c r="W18" s="64">
        <f t="shared" si="7"/>
        <v>4.8038465950724744E-3</v>
      </c>
      <c r="X18" s="64" t="str">
        <f t="shared" si="15"/>
        <v>1:35 -</v>
      </c>
      <c r="Y18" s="68"/>
      <c r="Z18" s="169" t="str">
        <f t="shared" ref="Z18:Z23" si="20">C3</f>
        <v>Ehrl, Lionel</v>
      </c>
      <c r="AA18" s="170"/>
      <c r="AB18" s="171"/>
      <c r="AC18" s="101">
        <f ca="1">SUMIF(C:M,Z18,R:R)</f>
        <v>0.18675925925925926</v>
      </c>
      <c r="AD18" s="102">
        <f>SUMIF($C:$C,$Z18,S:S)</f>
        <v>0</v>
      </c>
      <c r="AE18" s="143">
        <f t="shared" ref="AE18:AF18" si="21">SUMIF($C:$C,$Z18,T:T)</f>
        <v>0</v>
      </c>
      <c r="AF18" s="102">
        <f t="shared" si="21"/>
        <v>33.704999999999998</v>
      </c>
      <c r="AG18" s="103">
        <f ca="1">IF(AF18&gt;0,AC18/AF18,"")</f>
        <v>5.540995675990484E-3</v>
      </c>
      <c r="AH18" s="103">
        <f t="shared" ref="AH18:AH23" ca="1" si="22">SUMIF(C3:W40,Z18,W3:W40)/AI18</f>
        <v>5.0891541438836023E-3</v>
      </c>
      <c r="AI18" s="104">
        <f t="shared" ref="AI18:AI23" si="23">COUNTIF(C:C,Z18)</f>
        <v>5</v>
      </c>
    </row>
    <row r="19" spans="1:35" x14ac:dyDescent="0.2">
      <c r="A19" s="59">
        <v>17</v>
      </c>
      <c r="B19" s="61" t="s">
        <v>35</v>
      </c>
      <c r="C19" s="60" t="str">
        <f t="shared" si="18"/>
        <v>Baath, Veikko</v>
      </c>
      <c r="D19" s="59" t="str">
        <f t="shared" si="1"/>
        <v>BV</v>
      </c>
      <c r="E19" s="61" t="s">
        <v>23</v>
      </c>
      <c r="F19" s="59" t="str">
        <f t="shared" si="2"/>
        <v>LENBV</v>
      </c>
      <c r="G19" s="59">
        <f t="shared" si="19"/>
        <v>3</v>
      </c>
      <c r="H19" s="62">
        <f t="shared" si="3"/>
        <v>1.0551570666666665</v>
      </c>
      <c r="I19" s="62">
        <f t="shared" si="4"/>
        <v>1.05</v>
      </c>
      <c r="J19" s="62">
        <f>VLOOKUP(L19-Parameters!$C$33,Zeit,2)</f>
        <v>1.1200000000000001</v>
      </c>
      <c r="K19" s="63">
        <f t="shared" si="5"/>
        <v>1.2408647103999999</v>
      </c>
      <c r="L19" s="81">
        <f t="shared" si="12"/>
        <v>1.8994328703703705</v>
      </c>
      <c r="M19" s="82">
        <f>VLOOKUP(F19,TimeBasis!A:B,2,FALSE)*K19</f>
        <v>4.3882663456333328E-2</v>
      </c>
      <c r="N19" s="129">
        <f t="shared" si="6"/>
        <v>6.4628370333333325E-3</v>
      </c>
      <c r="O19" s="129" t="str">
        <f t="shared" si="16"/>
        <v/>
      </c>
      <c r="P19" s="65" t="str">
        <f t="shared" si="13"/>
        <v>0:00 -</v>
      </c>
      <c r="Q19" s="72">
        <f t="shared" si="14"/>
        <v>1.8994328703703705</v>
      </c>
      <c r="R19" s="66">
        <v>4.5486111111111109E-2</v>
      </c>
      <c r="S19" s="142">
        <v>6.19</v>
      </c>
      <c r="T19" s="67">
        <v>140</v>
      </c>
      <c r="U19" s="62">
        <f>IF(S19&gt;0,S19+T19*Climbfaktor/1000,VLOOKUP($E19,CoursesBasis!B$4:J$15,9,FALSE))</f>
        <v>7.17</v>
      </c>
      <c r="V19" s="64">
        <f t="shared" si="17"/>
        <v>6.3439485510615214E-3</v>
      </c>
      <c r="W19" s="64">
        <f t="shared" si="7"/>
        <v>5.1125223385686527E-3</v>
      </c>
      <c r="X19" s="64" t="str">
        <f t="shared" si="15"/>
        <v>1:57 -</v>
      </c>
      <c r="Y19" s="68"/>
      <c r="Z19" s="169" t="str">
        <f t="shared" si="20"/>
        <v>Scheler, Thomas</v>
      </c>
      <c r="AA19" s="170"/>
      <c r="AB19" s="171"/>
      <c r="AC19" s="101">
        <f t="shared" ref="AC19:AC23" ca="1" si="24">SUMIF(C:M,Z19,R:R)</f>
        <v>0.18612268518518518</v>
      </c>
      <c r="AD19" s="102">
        <f t="shared" ref="AD19:AD23" si="25">SUMIF($C:$C,$Z19,S:S)</f>
        <v>0</v>
      </c>
      <c r="AE19" s="143">
        <f t="shared" ref="AE19:AE23" si="26">SUMIF($C:$C,$Z19,T:T)</f>
        <v>0</v>
      </c>
      <c r="AF19" s="102">
        <f t="shared" ref="AF19:AF23" si="27">SUMIF($C:$C,$Z19,U:U)</f>
        <v>33.734999999999999</v>
      </c>
      <c r="AG19" s="103">
        <f t="shared" ref="AG19:AG23" ca="1" si="28">IF(AF19&gt;0,AC19/AF19,"")</f>
        <v>5.5171983158495679E-3</v>
      </c>
      <c r="AH19" s="103">
        <f t="shared" ca="1" si="22"/>
        <v>5.4435078964145973E-3</v>
      </c>
      <c r="AI19" s="104">
        <f t="shared" si="23"/>
        <v>5</v>
      </c>
    </row>
    <row r="20" spans="1:35" x14ac:dyDescent="0.2">
      <c r="A20" s="59">
        <v>18</v>
      </c>
      <c r="B20" s="61" t="s">
        <v>37</v>
      </c>
      <c r="C20" s="60" t="str">
        <f t="shared" si="18"/>
        <v>Scheler, Johanna</v>
      </c>
      <c r="D20" s="59" t="str">
        <f t="shared" si="1"/>
        <v>SJ</v>
      </c>
      <c r="E20" s="61" t="s">
        <v>21</v>
      </c>
      <c r="F20" s="59" t="str">
        <f t="shared" si="2"/>
        <v>SENSJ</v>
      </c>
      <c r="G20" s="59">
        <f t="shared" si="19"/>
        <v>3</v>
      </c>
      <c r="H20" s="62">
        <f t="shared" si="3"/>
        <v>1.0643031250000001</v>
      </c>
      <c r="I20" s="62">
        <f t="shared" si="4"/>
        <v>1.1000000000000001</v>
      </c>
      <c r="J20" s="62">
        <f>VLOOKUP(L20-Parameters!$C$33,Zeit,2)</f>
        <v>1.1200000000000001</v>
      </c>
      <c r="K20" s="63">
        <f t="shared" si="5"/>
        <v>1.3112214500000003</v>
      </c>
      <c r="L20" s="81">
        <f t="shared" si="12"/>
        <v>1.9449189814814816</v>
      </c>
      <c r="M20" s="82">
        <f>VLOOKUP(F20,TimeBasis!A:B,2,FALSE)*K20</f>
        <v>2.3241400201250009E-2</v>
      </c>
      <c r="N20" s="129">
        <f t="shared" si="6"/>
        <v>7.2845636111111131E-3</v>
      </c>
      <c r="O20" s="129">
        <f t="shared" si="16"/>
        <v>1.6034476547777121E-3</v>
      </c>
      <c r="P20" s="65" t="str">
        <f t="shared" si="13"/>
        <v>0:00 -</v>
      </c>
      <c r="Q20" s="72">
        <f t="shared" si="14"/>
        <v>1.9449189814814816</v>
      </c>
      <c r="R20" s="66">
        <v>2.3472222222222217E-2</v>
      </c>
      <c r="S20" s="142"/>
      <c r="T20" s="67"/>
      <c r="U20" s="62">
        <f>IF(S20&gt;0,S20+T20*Climbfaktor/1000,VLOOKUP($E20,CoursesBasis!B$4:J$15,9,FALSE))</f>
        <v>3.5449999999999999</v>
      </c>
      <c r="V20" s="64">
        <f t="shared" si="17"/>
        <v>6.6212192446325011E-3</v>
      </c>
      <c r="W20" s="64">
        <f t="shared" si="7"/>
        <v>5.0496575118051182E-3</v>
      </c>
      <c r="X20" s="64" t="str">
        <f t="shared" si="15"/>
        <v>3:13 -</v>
      </c>
      <c r="Y20" s="68"/>
      <c r="Z20" s="169" t="str">
        <f t="shared" si="20"/>
        <v>Lorenz-Baath, Katrin</v>
      </c>
      <c r="AA20" s="170"/>
      <c r="AB20" s="171"/>
      <c r="AC20" s="101">
        <f t="shared" ca="1" si="24"/>
        <v>0.13754629629629628</v>
      </c>
      <c r="AD20" s="102">
        <f t="shared" si="25"/>
        <v>21.59</v>
      </c>
      <c r="AE20" s="143">
        <f t="shared" si="26"/>
        <v>470</v>
      </c>
      <c r="AF20" s="102">
        <f t="shared" si="27"/>
        <v>24.880000000000003</v>
      </c>
      <c r="AG20" s="103">
        <f t="shared" ca="1" si="28"/>
        <v>5.5283881148029046E-3</v>
      </c>
      <c r="AH20" s="103">
        <f t="shared" ca="1" si="22"/>
        <v>5.3195338744643772E-3</v>
      </c>
      <c r="AI20" s="104">
        <f t="shared" si="23"/>
        <v>5</v>
      </c>
    </row>
    <row r="21" spans="1:35" x14ac:dyDescent="0.2">
      <c r="A21" s="59">
        <v>19</v>
      </c>
      <c r="B21" s="61" t="s">
        <v>28</v>
      </c>
      <c r="C21" s="60" t="str">
        <f t="shared" si="18"/>
        <v>Ehrl, Lionel</v>
      </c>
      <c r="D21" s="59" t="str">
        <f t="shared" si="1"/>
        <v>EL</v>
      </c>
      <c r="E21" s="61" t="s">
        <v>23</v>
      </c>
      <c r="F21" s="59" t="str">
        <f t="shared" si="2"/>
        <v>LENEL</v>
      </c>
      <c r="G21" s="59">
        <f t="shared" si="19"/>
        <v>4</v>
      </c>
      <c r="H21" s="62">
        <f t="shared" si="3"/>
        <v>1.0685749610000002</v>
      </c>
      <c r="I21" s="62">
        <f t="shared" si="4"/>
        <v>1</v>
      </c>
      <c r="J21" s="62">
        <f>VLOOKUP(L21-Parameters!$C$33,Zeit,2)</f>
        <v>1.1200000000000001</v>
      </c>
      <c r="K21" s="63">
        <f t="shared" si="5"/>
        <v>1.1968039563200004</v>
      </c>
      <c r="L21" s="81">
        <f t="shared" si="12"/>
        <v>1.9683912037037037</v>
      </c>
      <c r="M21" s="82">
        <f>VLOOKUP(F21,TimeBasis!A:B,2,FALSE)*K21</f>
        <v>3.9502841697145567E-2</v>
      </c>
      <c r="N21" s="129">
        <f t="shared" si="6"/>
        <v>5.8177970098888905E-3</v>
      </c>
      <c r="O21" s="129">
        <f t="shared" si="16"/>
        <v>2.3082202097213234E-4</v>
      </c>
      <c r="P21" s="65" t="str">
        <f t="shared" si="13"/>
        <v>0:00 -</v>
      </c>
      <c r="Q21" s="72">
        <f t="shared" si="14"/>
        <v>1.9683912037037037</v>
      </c>
      <c r="R21" s="66">
        <v>4.2534722222222217E-2</v>
      </c>
      <c r="S21" s="142"/>
      <c r="T21" s="67"/>
      <c r="U21" s="62">
        <f>IF(S21&gt;0,S21+T21*Climbfaktor/1000,VLOOKUP($E21,CoursesBasis!B$4:J$15,9,FALSE))</f>
        <v>6.79</v>
      </c>
      <c r="V21" s="64">
        <f t="shared" si="17"/>
        <v>6.2643184421534931E-3</v>
      </c>
      <c r="W21" s="64">
        <f t="shared" si="7"/>
        <v>5.2342059942844521E-3</v>
      </c>
      <c r="X21" s="64" t="str">
        <f t="shared" si="15"/>
        <v>0:50 -</v>
      </c>
      <c r="Y21" s="68"/>
      <c r="Z21" s="169" t="str">
        <f t="shared" si="20"/>
        <v>Lexen, Gert</v>
      </c>
      <c r="AA21" s="170"/>
      <c r="AB21" s="171"/>
      <c r="AC21" s="101">
        <f t="shared" ca="1" si="24"/>
        <v>0.15952546296296297</v>
      </c>
      <c r="AD21" s="102">
        <f t="shared" si="25"/>
        <v>0</v>
      </c>
      <c r="AE21" s="143">
        <f t="shared" si="26"/>
        <v>0</v>
      </c>
      <c r="AF21" s="102">
        <f t="shared" si="27"/>
        <v>28.684999999999995</v>
      </c>
      <c r="AG21" s="103">
        <f t="shared" ca="1" si="28"/>
        <v>5.5612850954492934E-3</v>
      </c>
      <c r="AH21" s="103">
        <f t="shared" ca="1" si="22"/>
        <v>5.0669963548494274E-3</v>
      </c>
      <c r="AI21" s="104">
        <f t="shared" si="23"/>
        <v>5</v>
      </c>
    </row>
    <row r="22" spans="1:35" x14ac:dyDescent="0.2">
      <c r="A22" s="59">
        <v>20</v>
      </c>
      <c r="B22" s="61" t="s">
        <v>30</v>
      </c>
      <c r="C22" s="60" t="str">
        <f t="shared" si="18"/>
        <v>Scheler, Thomas</v>
      </c>
      <c r="D22" s="59" t="str">
        <f t="shared" si="1"/>
        <v>ST</v>
      </c>
      <c r="E22" s="61" t="s">
        <v>21</v>
      </c>
      <c r="F22" s="59" t="str">
        <f t="shared" si="2"/>
        <v>SENST</v>
      </c>
      <c r="G22" s="59">
        <f t="shared" si="19"/>
        <v>4</v>
      </c>
      <c r="H22" s="62">
        <f t="shared" si="3"/>
        <v>1.060003090875</v>
      </c>
      <c r="I22" s="62">
        <f t="shared" si="4"/>
        <v>0.9</v>
      </c>
      <c r="J22" s="62">
        <f>VLOOKUP(L22-Parameters!$C$33,Zeit,2)</f>
        <v>1.1200000000000001</v>
      </c>
      <c r="K22" s="63">
        <f t="shared" si="5"/>
        <v>1.068483115602</v>
      </c>
      <c r="L22" s="81">
        <f t="shared" si="12"/>
        <v>2.010925925925926</v>
      </c>
      <c r="M22" s="82">
        <f>VLOOKUP(F22,TimeBasis!A:B,2,FALSE)*K22</f>
        <v>1.7163344796791193E-2</v>
      </c>
      <c r="N22" s="129">
        <f t="shared" si="6"/>
        <v>5.3795156861906257E-3</v>
      </c>
      <c r="O22" s="129">
        <f t="shared" si="16"/>
        <v>3.0318805250768577E-3</v>
      </c>
      <c r="P22" s="65" t="str">
        <f t="shared" si="13"/>
        <v>0:00 -</v>
      </c>
      <c r="Q22" s="72">
        <f t="shared" si="14"/>
        <v>2.010925925925926</v>
      </c>
      <c r="R22" s="66">
        <v>2.2314814814814815E-2</v>
      </c>
      <c r="S22" s="142"/>
      <c r="T22" s="67"/>
      <c r="U22" s="62">
        <f>IF(S22&gt;0,S22+T22*Climbfaktor/1000,VLOOKUP($E22,CoursesBasis!B$4:J$15,9,FALSE))</f>
        <v>3.5449999999999999</v>
      </c>
      <c r="V22" s="64">
        <f t="shared" si="17"/>
        <v>6.2947291438123602E-3</v>
      </c>
      <c r="W22" s="64">
        <f t="shared" si="7"/>
        <v>5.8912761951000151E-3</v>
      </c>
      <c r="X22" s="64" t="str">
        <f t="shared" si="15"/>
        <v>0:44 +</v>
      </c>
      <c r="Y22" s="68"/>
      <c r="Z22" s="169" t="str">
        <f t="shared" si="20"/>
        <v>Baath, Veikko</v>
      </c>
      <c r="AA22" s="170"/>
      <c r="AB22" s="171"/>
      <c r="AC22" s="101">
        <f t="shared" ca="1" si="24"/>
        <v>0.20086805555555556</v>
      </c>
      <c r="AD22" s="102">
        <f t="shared" si="25"/>
        <v>29.720000000000002</v>
      </c>
      <c r="AE22" s="143">
        <f t="shared" si="26"/>
        <v>675</v>
      </c>
      <c r="AF22" s="102">
        <f t="shared" si="27"/>
        <v>34.445</v>
      </c>
      <c r="AG22" s="103">
        <f t="shared" ca="1" si="28"/>
        <v>5.8315591684005097E-3</v>
      </c>
      <c r="AH22" s="103">
        <f t="shared" ca="1" si="22"/>
        <v>5.0845686013963791E-3</v>
      </c>
      <c r="AI22" s="104">
        <f t="shared" si="23"/>
        <v>5</v>
      </c>
    </row>
    <row r="23" spans="1:35" x14ac:dyDescent="0.2">
      <c r="A23" s="59">
        <v>21</v>
      </c>
      <c r="B23" s="61" t="s">
        <v>32</v>
      </c>
      <c r="C23" s="60" t="str">
        <f t="shared" si="18"/>
        <v>Lorenz-Baath, Katrin</v>
      </c>
      <c r="D23" s="59" t="str">
        <f t="shared" si="1"/>
        <v>LBK</v>
      </c>
      <c r="E23" s="61" t="s">
        <v>21</v>
      </c>
      <c r="F23" s="59" t="str">
        <f t="shared" si="2"/>
        <v>SENLBK</v>
      </c>
      <c r="G23" s="59">
        <f t="shared" si="19"/>
        <v>4</v>
      </c>
      <c r="H23" s="62">
        <f t="shared" si="3"/>
        <v>1.0716392960000001</v>
      </c>
      <c r="I23" s="62">
        <f t="shared" si="4"/>
        <v>0.9</v>
      </c>
      <c r="J23" s="62">
        <f>VLOOKUP(L23-Parameters!$C$33,Zeit,2)</f>
        <v>1.1200000000000001</v>
      </c>
      <c r="K23" s="63">
        <f t="shared" si="5"/>
        <v>1.0802124103680002</v>
      </c>
      <c r="L23" s="81">
        <f t="shared" si="12"/>
        <v>2.0332407407407409</v>
      </c>
      <c r="M23" s="82">
        <f>VLOOKUP(F23,TimeBasis!A:B,2,FALSE)*K23</f>
        <v>1.7950092162912001E-2</v>
      </c>
      <c r="N23" s="129">
        <f t="shared" si="6"/>
        <v>5.626106304000001E-3</v>
      </c>
      <c r="O23" s="129">
        <f t="shared" si="16"/>
        <v>5.1514700180237405E-3</v>
      </c>
      <c r="P23" s="65" t="str">
        <f t="shared" si="13"/>
        <v>0:00 -</v>
      </c>
      <c r="Q23" s="72">
        <f t="shared" si="14"/>
        <v>2.0332407407407409</v>
      </c>
      <c r="R23" s="66">
        <v>2.2187499999999999E-2</v>
      </c>
      <c r="S23" s="142">
        <v>3.06</v>
      </c>
      <c r="T23" s="67">
        <v>90</v>
      </c>
      <c r="U23" s="62">
        <f>IF(S23&gt;0,S23+T23*Climbfaktor/1000,VLOOKUP($E23,CoursesBasis!B$4:J$15,9,FALSE))</f>
        <v>3.69</v>
      </c>
      <c r="V23" s="64">
        <f t="shared" si="17"/>
        <v>6.012872628726287E-3</v>
      </c>
      <c r="W23" s="64">
        <f t="shared" si="7"/>
        <v>5.5663798814141177E-3</v>
      </c>
      <c r="X23" s="64" t="str">
        <f t="shared" si="15"/>
        <v>0:05 -</v>
      </c>
      <c r="Y23" s="68"/>
      <c r="Z23" s="169" t="str">
        <f t="shared" si="20"/>
        <v>Scheler, Johanna</v>
      </c>
      <c r="AA23" s="170"/>
      <c r="AB23" s="171"/>
      <c r="AC23" s="101">
        <f t="shared" ca="1" si="24"/>
        <v>0.10202546296296296</v>
      </c>
      <c r="AD23" s="102">
        <f t="shared" si="25"/>
        <v>0</v>
      </c>
      <c r="AE23" s="143">
        <f t="shared" si="26"/>
        <v>0</v>
      </c>
      <c r="AF23" s="102">
        <f t="shared" si="27"/>
        <v>16.28</v>
      </c>
      <c r="AG23" s="103">
        <f t="shared" ca="1" si="28"/>
        <v>6.2669203294203283E-3</v>
      </c>
      <c r="AH23" s="103">
        <f t="shared" ca="1" si="22"/>
        <v>5.3034459448870856E-3</v>
      </c>
      <c r="AI23" s="104">
        <f t="shared" si="23"/>
        <v>4</v>
      </c>
    </row>
    <row r="24" spans="1:35" x14ac:dyDescent="0.2">
      <c r="A24" s="59">
        <v>22</v>
      </c>
      <c r="B24" s="61" t="s">
        <v>34</v>
      </c>
      <c r="C24" s="60" t="str">
        <f t="shared" si="18"/>
        <v>Lexen, Gert</v>
      </c>
      <c r="D24" s="59" t="str">
        <f t="shared" si="1"/>
        <v>LG</v>
      </c>
      <c r="E24" s="61" t="s">
        <v>21</v>
      </c>
      <c r="F24" s="59" t="str">
        <f t="shared" si="2"/>
        <v>SENLG</v>
      </c>
      <c r="G24" s="59">
        <f t="shared" si="19"/>
        <v>4</v>
      </c>
      <c r="H24" s="62">
        <f t="shared" si="3"/>
        <v>1.082954577</v>
      </c>
      <c r="I24" s="62">
        <f t="shared" si="4"/>
        <v>0.9</v>
      </c>
      <c r="J24" s="62">
        <f>VLOOKUP(L24-Parameters!$C$33,Zeit,2)</f>
        <v>1.1200000000000001</v>
      </c>
      <c r="K24" s="63">
        <f t="shared" si="5"/>
        <v>1.0916182136160002</v>
      </c>
      <c r="L24" s="81">
        <f t="shared" si="12"/>
        <v>2.0554282407407407</v>
      </c>
      <c r="M24" s="82">
        <f>VLOOKUP(F24,TimeBasis!A:B,2,FALSE)*K24</f>
        <v>1.8139624534072127E-2</v>
      </c>
      <c r="N24" s="129">
        <f t="shared" si="6"/>
        <v>5.6855115292500005E-3</v>
      </c>
      <c r="O24" s="129">
        <f t="shared" si="16"/>
        <v>4.2374078370879253E-3</v>
      </c>
      <c r="P24" s="65" t="str">
        <f t="shared" si="13"/>
        <v>0:00 -</v>
      </c>
      <c r="Q24" s="72">
        <f t="shared" si="14"/>
        <v>2.0554282407407407</v>
      </c>
      <c r="R24" s="66">
        <v>1.8171296296296297E-2</v>
      </c>
      <c r="S24" s="142"/>
      <c r="T24" s="67"/>
      <c r="U24" s="62">
        <f>IF(S24&gt;0,S24+T24*Climbfaktor/1000,VLOOKUP($E24,CoursesBasis!B$4:J$15,9,FALSE))</f>
        <v>3.5449999999999999</v>
      </c>
      <c r="V24" s="64">
        <f t="shared" si="17"/>
        <v>5.125894582876247E-3</v>
      </c>
      <c r="W24" s="64">
        <f t="shared" si="7"/>
        <v>4.6956843692600655E-3</v>
      </c>
      <c r="X24" s="64" t="str">
        <f t="shared" si="15"/>
        <v>1:26 -</v>
      </c>
      <c r="Y24" s="68"/>
      <c r="Z24" s="172"/>
      <c r="AA24" s="173"/>
      <c r="AB24" s="174"/>
      <c r="AC24" s="105">
        <f ca="1">SUM(AC18:AC23)+SUM(O:O)</f>
        <v>1.0229787701908566</v>
      </c>
    </row>
    <row r="25" spans="1:35" x14ac:dyDescent="0.2">
      <c r="A25" s="59">
        <v>23</v>
      </c>
      <c r="B25" s="61" t="s">
        <v>35</v>
      </c>
      <c r="C25" s="60" t="str">
        <f t="shared" si="18"/>
        <v>Baath, Veikko</v>
      </c>
      <c r="D25" s="59" t="str">
        <f t="shared" si="1"/>
        <v>BV</v>
      </c>
      <c r="E25" s="61" t="s">
        <v>22</v>
      </c>
      <c r="F25" s="59" t="str">
        <f t="shared" si="2"/>
        <v>SDNBV</v>
      </c>
      <c r="G25" s="59">
        <f t="shared" si="19"/>
        <v>4</v>
      </c>
      <c r="H25" s="62">
        <f t="shared" si="3"/>
        <v>1.0761167520000001</v>
      </c>
      <c r="I25" s="62">
        <f t="shared" si="4"/>
        <v>1</v>
      </c>
      <c r="J25" s="62">
        <f>VLOOKUP(L25-Parameters!$C$33,Zeit,2)</f>
        <v>1.1200000000000001</v>
      </c>
      <c r="K25" s="63">
        <f t="shared" si="5"/>
        <v>1.2052507622400002</v>
      </c>
      <c r="L25" s="81">
        <f t="shared" si="12"/>
        <v>2.0735995370370368</v>
      </c>
      <c r="M25" s="82">
        <f>VLOOKUP(F25,TimeBasis!A:B,2,FALSE)*K25</f>
        <v>3.0759003828000002E-2</v>
      </c>
      <c r="N25" s="129">
        <f t="shared" si="6"/>
        <v>6.2773477200000006E-3</v>
      </c>
      <c r="O25" s="129">
        <f t="shared" si="16"/>
        <v>3.1671762223961508E-5</v>
      </c>
      <c r="P25" s="65" t="str">
        <f t="shared" si="13"/>
        <v>0:00 -</v>
      </c>
      <c r="Q25" s="72">
        <f t="shared" si="14"/>
        <v>2.0735995370370368</v>
      </c>
      <c r="R25" s="66">
        <v>3.3263888888888891E-2</v>
      </c>
      <c r="S25" s="142">
        <v>4.42</v>
      </c>
      <c r="T25" s="67">
        <v>75</v>
      </c>
      <c r="U25" s="62">
        <f>IF(S25&gt;0,S25+T25*Climbfaktor/1000,VLOOKUP($E25,CoursesBasis!B$4:J$15,9,FALSE))</f>
        <v>4.9450000000000003</v>
      </c>
      <c r="V25" s="64">
        <f t="shared" si="17"/>
        <v>6.7267722727783396E-3</v>
      </c>
      <c r="W25" s="64">
        <f t="shared" si="7"/>
        <v>5.5812221684692414E-3</v>
      </c>
      <c r="X25" s="64" t="str">
        <f t="shared" si="15"/>
        <v>1:00 -</v>
      </c>
      <c r="Y25" s="68"/>
    </row>
    <row r="26" spans="1:35" x14ac:dyDescent="0.2">
      <c r="A26" s="59">
        <v>24</v>
      </c>
      <c r="B26" s="61" t="s">
        <v>37</v>
      </c>
      <c r="C26" s="60" t="str">
        <f t="shared" si="18"/>
        <v>Scheler, Johanna</v>
      </c>
      <c r="D26" s="59" t="str">
        <f t="shared" si="1"/>
        <v>SJ</v>
      </c>
      <c r="E26" s="61" t="s">
        <v>21</v>
      </c>
      <c r="F26" s="59" t="str">
        <f t="shared" si="2"/>
        <v>SENSJ</v>
      </c>
      <c r="G26" s="59">
        <f t="shared" si="19"/>
        <v>4</v>
      </c>
      <c r="H26" s="62">
        <f t="shared" si="3"/>
        <v>1.0916319531250001</v>
      </c>
      <c r="I26" s="62">
        <f t="shared" si="4"/>
        <v>1.1000000000000001</v>
      </c>
      <c r="J26" s="62">
        <f>VLOOKUP(L26-Parameters!$C$33,Zeit,2)</f>
        <v>1.1200000000000001</v>
      </c>
      <c r="K26" s="63">
        <f t="shared" si="5"/>
        <v>1.3448905662500004</v>
      </c>
      <c r="L26" s="81">
        <f t="shared" si="12"/>
        <v>2.1068634259259258</v>
      </c>
      <c r="M26" s="82">
        <f>VLOOKUP(F26,TimeBasis!A:B,2,FALSE)*K26</f>
        <v>2.3838185286781256E-2</v>
      </c>
      <c r="N26" s="129">
        <f t="shared" si="6"/>
        <v>7.4716142569444472E-3</v>
      </c>
      <c r="O26" s="129">
        <f t="shared" si="16"/>
        <v>2.5048850608890838E-3</v>
      </c>
      <c r="P26" s="65" t="str">
        <f t="shared" si="13"/>
        <v>0:00 -</v>
      </c>
      <c r="Q26" s="72">
        <f t="shared" si="14"/>
        <v>2.1068634259259258</v>
      </c>
      <c r="R26" s="66">
        <v>2.3715277777777776E-2</v>
      </c>
      <c r="S26" s="142"/>
      <c r="T26" s="67"/>
      <c r="U26" s="62">
        <f>IF(S26&gt;0,S26+T26*Climbfaktor/1000,VLOOKUP($E26,CoursesBasis!B$4:J$15,9,FALSE))</f>
        <v>3.5449999999999999</v>
      </c>
      <c r="V26" s="64">
        <f t="shared" si="17"/>
        <v>6.6897821658047328E-3</v>
      </c>
      <c r="W26" s="64">
        <f t="shared" si="7"/>
        <v>4.9742204560613863E-3</v>
      </c>
      <c r="X26" s="64" t="str">
        <f t="shared" si="15"/>
        <v>3:36 -</v>
      </c>
      <c r="Y26" s="68"/>
      <c r="Z26" s="163" t="s">
        <v>52</v>
      </c>
      <c r="AA26" s="164"/>
      <c r="AB26" s="165"/>
      <c r="AC26" s="101">
        <f>Startzeit</f>
        <v>1.375</v>
      </c>
    </row>
    <row r="27" spans="1:35" x14ac:dyDescent="0.2">
      <c r="A27" s="59">
        <v>25</v>
      </c>
      <c r="B27" s="61" t="s">
        <v>28</v>
      </c>
      <c r="C27" s="60" t="str">
        <f t="shared" si="18"/>
        <v>Ehrl, Lionel</v>
      </c>
      <c r="D27" s="59" t="str">
        <f t="shared" si="1"/>
        <v>EL</v>
      </c>
      <c r="E27" s="61" t="s">
        <v>22</v>
      </c>
      <c r="F27" s="59" t="str">
        <f t="shared" si="2"/>
        <v>SDNEL</v>
      </c>
      <c r="G27" s="59">
        <f t="shared" si="19"/>
        <v>5</v>
      </c>
      <c r="H27" s="62">
        <f t="shared" si="3"/>
        <v>1.0832042860133333</v>
      </c>
      <c r="I27" s="62">
        <f t="shared" si="4"/>
        <v>1</v>
      </c>
      <c r="J27" s="62">
        <f>VLOOKUP(L27-Parameters!$C$33,Zeit,2)</f>
        <v>1.1200000000000001</v>
      </c>
      <c r="K27" s="63">
        <f t="shared" si="5"/>
        <v>1.2131888003349334</v>
      </c>
      <c r="L27" s="81">
        <f t="shared" si="12"/>
        <v>2.1305787037037036</v>
      </c>
      <c r="M27" s="82">
        <f>VLOOKUP(F27,TimeBasis!A:B,2,FALSE)*K27</f>
        <v>2.8897483230200149E-2</v>
      </c>
      <c r="N27" s="129">
        <f t="shared" si="6"/>
        <v>5.897445557183704E-3</v>
      </c>
      <c r="O27" s="129" t="str">
        <f t="shared" si="16"/>
        <v/>
      </c>
      <c r="P27" s="65" t="str">
        <f t="shared" si="13"/>
        <v>0:00 -</v>
      </c>
      <c r="Q27" s="72">
        <f t="shared" si="14"/>
        <v>2.1305787037037036</v>
      </c>
      <c r="R27" s="66">
        <v>3.5949074074074071E-2</v>
      </c>
      <c r="S27" s="142"/>
      <c r="T27" s="67"/>
      <c r="U27" s="62">
        <f>IF(S27&gt;0,S27+T27*Climbfaktor/1000,VLOOKUP($E27,CoursesBasis!B$4:J$15,9,FALSE))</f>
        <v>4.9000000000000004</v>
      </c>
      <c r="V27" s="64">
        <f t="shared" si="17"/>
        <v>7.3365457294028713E-3</v>
      </c>
      <c r="W27" s="64">
        <f t="shared" si="7"/>
        <v>6.0473239840142115E-3</v>
      </c>
      <c r="X27" s="64" t="str">
        <f t="shared" si="15"/>
        <v>0:13 +</v>
      </c>
      <c r="Y27" s="68"/>
      <c r="Z27" s="163" t="s">
        <v>97</v>
      </c>
      <c r="AA27" s="164"/>
      <c r="AB27" s="165"/>
      <c r="AC27" s="101">
        <f>Dämmerungszeit</f>
        <v>1.8125</v>
      </c>
    </row>
    <row r="28" spans="1:35" x14ac:dyDescent="0.2">
      <c r="A28" s="59">
        <v>26</v>
      </c>
      <c r="B28" s="61" t="s">
        <v>30</v>
      </c>
      <c r="C28" s="60" t="str">
        <f t="shared" si="18"/>
        <v>Scheler, Thomas</v>
      </c>
      <c r="D28" s="59" t="str">
        <f t="shared" si="1"/>
        <v>ST</v>
      </c>
      <c r="E28" s="61" t="s">
        <v>23</v>
      </c>
      <c r="F28" s="59" t="str">
        <f t="shared" si="2"/>
        <v>LENST</v>
      </c>
      <c r="G28" s="59">
        <f t="shared" si="19"/>
        <v>5</v>
      </c>
      <c r="H28" s="62">
        <f t="shared" si="3"/>
        <v>1.0728037502616667</v>
      </c>
      <c r="I28" s="62">
        <f t="shared" si="4"/>
        <v>0.95</v>
      </c>
      <c r="J28" s="62">
        <f>VLOOKUP(L28-Parameters!$C$33,Zeit,2)</f>
        <v>1.1200000000000001</v>
      </c>
      <c r="K28" s="63">
        <f t="shared" si="5"/>
        <v>1.1414631902784134</v>
      </c>
      <c r="L28" s="81">
        <f t="shared" si="12"/>
        <v>2.1665277777777776</v>
      </c>
      <c r="M28" s="82">
        <f>VLOOKUP(F28,TimeBasis!A:B,2,FALSE)*K28</f>
        <v>3.9021791110715694E-2</v>
      </c>
      <c r="N28" s="129">
        <f t="shared" si="6"/>
        <v>5.7469500899434006E-3</v>
      </c>
      <c r="O28" s="129">
        <f t="shared" si="16"/>
        <v>7.0515908438739672E-3</v>
      </c>
      <c r="P28" s="65" t="str">
        <f t="shared" si="13"/>
        <v>0:00 -</v>
      </c>
      <c r="Q28" s="72">
        <f t="shared" si="14"/>
        <v>2.1665277777777776</v>
      </c>
      <c r="R28" s="66">
        <v>4.2083333333333334E-2</v>
      </c>
      <c r="S28" s="142"/>
      <c r="T28" s="67"/>
      <c r="U28" s="62">
        <f>IF(S28&gt;0,S28+T28*Climbfaktor/1000,VLOOKUP($E28,CoursesBasis!B$4:J$15,9,FALSE))</f>
        <v>6.79</v>
      </c>
      <c r="V28" s="64">
        <f t="shared" si="17"/>
        <v>6.1978399607265583E-3</v>
      </c>
      <c r="W28" s="64">
        <f t="shared" si="7"/>
        <v>5.4297326567445845E-3</v>
      </c>
      <c r="X28" s="64" t="str">
        <f t="shared" si="15"/>
        <v>0:27 -</v>
      </c>
      <c r="Y28" s="68"/>
      <c r="Z28" s="163" t="s">
        <v>98</v>
      </c>
      <c r="AA28" s="164"/>
      <c r="AB28" s="165"/>
      <c r="AC28" s="101">
        <f>Zielzeit</f>
        <v>2.375</v>
      </c>
    </row>
    <row r="29" spans="1:35" x14ac:dyDescent="0.2">
      <c r="A29" s="59">
        <v>27</v>
      </c>
      <c r="B29" s="61" t="s">
        <v>32</v>
      </c>
      <c r="C29" s="60" t="str">
        <f t="shared" si="18"/>
        <v>Lorenz-Baath, Katrin</v>
      </c>
      <c r="D29" s="59" t="str">
        <f t="shared" si="1"/>
        <v>LBK</v>
      </c>
      <c r="E29" s="61" t="s">
        <v>22</v>
      </c>
      <c r="F29" s="59" t="str">
        <f t="shared" si="2"/>
        <v>SDNLBK</v>
      </c>
      <c r="G29" s="59">
        <f t="shared" si="19"/>
        <v>5</v>
      </c>
      <c r="H29" s="62">
        <f t="shared" si="3"/>
        <v>1.0878775364266666</v>
      </c>
      <c r="I29" s="62">
        <f t="shared" si="4"/>
        <v>1</v>
      </c>
      <c r="J29" s="62">
        <f>VLOOKUP(L29-Parameters!$C$33,Zeit,2)</f>
        <v>1.06</v>
      </c>
      <c r="K29" s="63">
        <f t="shared" si="5"/>
        <v>1.1531501886122666</v>
      </c>
      <c r="L29" s="81">
        <f t="shared" si="12"/>
        <v>2.2086111111111109</v>
      </c>
      <c r="M29" s="82">
        <f>VLOOKUP(F29,TimeBasis!A:B,2,FALSE)*K29</f>
        <v>2.9429353771875551E-2</v>
      </c>
      <c r="N29" s="129">
        <f t="shared" si="6"/>
        <v>6.0059905656888882E-3</v>
      </c>
      <c r="O29" s="129">
        <f t="shared" si="16"/>
        <v>3.0615422226176747E-3</v>
      </c>
      <c r="P29" s="65" t="str">
        <f t="shared" si="13"/>
        <v>0:00 -</v>
      </c>
      <c r="Q29" s="72">
        <f t="shared" si="14"/>
        <v>2.2086111111111109</v>
      </c>
      <c r="R29" s="66">
        <v>2.7962962962962964E-2</v>
      </c>
      <c r="S29" s="142">
        <v>4.1100000000000003</v>
      </c>
      <c r="T29" s="67">
        <v>100</v>
      </c>
      <c r="U29" s="62">
        <f>IF(S29&gt;0,S29+T29*Climbfaktor/1000,VLOOKUP($E29,CoursesBasis!B$4:J$15,9,FALSE))</f>
        <v>4.8100000000000005</v>
      </c>
      <c r="V29" s="64">
        <f t="shared" si="17"/>
        <v>5.8135058135058131E-3</v>
      </c>
      <c r="W29" s="64">
        <f t="shared" si="7"/>
        <v>5.0414125331774426E-3</v>
      </c>
      <c r="X29" s="64" t="str">
        <f t="shared" si="15"/>
        <v>1:23 -</v>
      </c>
      <c r="Y29" s="68"/>
      <c r="AC29" s="69"/>
    </row>
    <row r="30" spans="1:35" x14ac:dyDescent="0.2">
      <c r="A30" s="59">
        <v>28</v>
      </c>
      <c r="B30" s="61" t="s">
        <v>34</v>
      </c>
      <c r="C30" s="60" t="str">
        <f t="shared" si="18"/>
        <v>Lexen, Gert</v>
      </c>
      <c r="D30" s="59" t="str">
        <f t="shared" si="1"/>
        <v>LG</v>
      </c>
      <c r="E30" s="61" t="s">
        <v>24</v>
      </c>
      <c r="F30" s="59" t="str">
        <f t="shared" si="2"/>
        <v>LDNLG</v>
      </c>
      <c r="G30" s="59">
        <f t="shared" si="19"/>
        <v>5</v>
      </c>
      <c r="H30" s="62">
        <f t="shared" si="3"/>
        <v>1.1039697365066667</v>
      </c>
      <c r="I30" s="62">
        <f t="shared" si="4"/>
        <v>1.05</v>
      </c>
      <c r="J30" s="62">
        <f>VLOOKUP(L30-Parameters!$C$33,Zeit,2)</f>
        <v>1</v>
      </c>
      <c r="K30" s="63">
        <f t="shared" si="5"/>
        <v>1.1591682233320002</v>
      </c>
      <c r="L30" s="81">
        <f t="shared" si="12"/>
        <v>2.2365740740740736</v>
      </c>
      <c r="M30" s="82">
        <f>VLOOKUP(F30,TimeBasis!A:B,2,FALSE)*K30</f>
        <v>5.8175755208474761E-2</v>
      </c>
      <c r="N30" s="129">
        <f t="shared" si="6"/>
        <v>6.0373344965208341E-3</v>
      </c>
      <c r="O30" s="129" t="str">
        <f t="shared" si="16"/>
        <v/>
      </c>
      <c r="P30" s="65" t="str">
        <f t="shared" si="13"/>
        <v>0:00 -</v>
      </c>
      <c r="Q30" s="72">
        <f t="shared" si="14"/>
        <v>2.2365740740740736</v>
      </c>
      <c r="R30" s="66">
        <v>5.4085648148148147E-2</v>
      </c>
      <c r="S30" s="142"/>
      <c r="T30" s="67"/>
      <c r="U30" s="62">
        <f>IF(S30&gt;0,S30+T30*Climbfaktor/1000,VLOOKUP($E30,CoursesBasis!B$4:J$15,9,FALSE))</f>
        <v>8.76</v>
      </c>
      <c r="V30" s="64">
        <f t="shared" si="17"/>
        <v>6.1741607475054965E-3</v>
      </c>
      <c r="W30" s="64">
        <f t="shared" si="7"/>
        <v>5.3263716372055347E-3</v>
      </c>
      <c r="X30" s="64" t="str">
        <f t="shared" si="15"/>
        <v>1:01 -</v>
      </c>
      <c r="Y30" s="68"/>
      <c r="AB30" s="70"/>
    </row>
    <row r="31" spans="1:35" x14ac:dyDescent="0.2">
      <c r="A31" s="59">
        <v>29</v>
      </c>
      <c r="B31" s="61" t="s">
        <v>35</v>
      </c>
      <c r="C31" s="60" t="str">
        <f t="shared" si="18"/>
        <v>Baath, Veikko</v>
      </c>
      <c r="D31" s="59" t="str">
        <f t="shared" si="1"/>
        <v>BV</v>
      </c>
      <c r="E31" s="61" t="s">
        <v>24</v>
      </c>
      <c r="F31" s="59" t="str">
        <f t="shared" si="2"/>
        <v>LDNBV</v>
      </c>
      <c r="G31" s="59">
        <f t="shared" si="19"/>
        <v>5</v>
      </c>
      <c r="H31" s="62">
        <f t="shared" si="3"/>
        <v>1.0933698824533333</v>
      </c>
      <c r="I31" s="62">
        <f t="shared" si="4"/>
        <v>1.05</v>
      </c>
      <c r="J31" s="62">
        <f>VLOOKUP(L31-Parameters!$C$33,Zeit,2)</f>
        <v>1</v>
      </c>
      <c r="K31" s="63">
        <f t="shared" si="5"/>
        <v>1.1480383765760001</v>
      </c>
      <c r="L31" s="81">
        <f t="shared" si="12"/>
        <v>2.2906597222222218</v>
      </c>
      <c r="M31" s="82">
        <f>VLOOKUP(F31,TimeBasis!A:B,2,FALSE)*K31</f>
        <v>5.7617176024408009E-2</v>
      </c>
      <c r="N31" s="129">
        <f t="shared" si="6"/>
        <v>5.9793665446666667E-3</v>
      </c>
      <c r="O31" s="129" t="str">
        <f t="shared" si="16"/>
        <v/>
      </c>
      <c r="P31" s="65" t="str">
        <f t="shared" si="13"/>
        <v>0:00 -</v>
      </c>
      <c r="Q31" s="72">
        <f t="shared" si="14"/>
        <v>2.2906597222222218</v>
      </c>
      <c r="R31" s="66">
        <v>5.7187500000000002E-2</v>
      </c>
      <c r="S31" s="142">
        <v>7.48</v>
      </c>
      <c r="T31" s="67">
        <v>205</v>
      </c>
      <c r="U31" s="62">
        <f>IF(S31&gt;0,S31+T31*Climbfaktor/1000,VLOOKUP($E31,CoursesBasis!B$4:J$15,9,FALSE))</f>
        <v>8.9150000000000009</v>
      </c>
      <c r="V31" s="64">
        <f t="shared" si="17"/>
        <v>6.4147504206393717E-3</v>
      </c>
      <c r="W31" s="64">
        <f t="shared" si="7"/>
        <v>5.5875749030021345E-3</v>
      </c>
      <c r="X31" s="64" t="str">
        <f t="shared" si="15"/>
        <v>0:34 -</v>
      </c>
      <c r="Y31" s="68"/>
      <c r="AB31" s="70">
        <f>K31*IF(R31&gt;0,1,0)</f>
        <v>1.1480383765760001</v>
      </c>
    </row>
    <row r="32" spans="1:35" x14ac:dyDescent="0.2">
      <c r="A32" s="59">
        <v>30</v>
      </c>
      <c r="B32" s="61" t="s">
        <v>37</v>
      </c>
      <c r="C32" s="60" t="str">
        <f t="shared" si="18"/>
        <v>Scheler, Johanna - Einlauf nach Zielschluß</v>
      </c>
      <c r="D32" s="59" t="str">
        <f t="shared" si="1"/>
        <v>SJ</v>
      </c>
      <c r="E32" s="61" t="s">
        <v>24</v>
      </c>
      <c r="F32" s="59" t="str">
        <f t="shared" si="2"/>
        <v>LDNSJ</v>
      </c>
      <c r="G32" s="59">
        <f t="shared" ref="G32:G37" si="29">G26+1</f>
        <v>5</v>
      </c>
      <c r="H32" s="62">
        <f t="shared" si="3"/>
        <v>1.116067140625</v>
      </c>
      <c r="I32" s="62">
        <f t="shared" si="4"/>
        <v>1.35</v>
      </c>
      <c r="J32" s="62">
        <f>VLOOKUP(L32-Parameters!$C$33,Zeit,2)</f>
        <v>1</v>
      </c>
      <c r="K32" s="63">
        <f t="shared" si="5"/>
        <v>1.5066906398437501</v>
      </c>
      <c r="L32" s="81">
        <f t="shared" si="12"/>
        <v>2.3478472222222218</v>
      </c>
      <c r="M32" s="82">
        <f>VLOOKUP(F32,TimeBasis!A:B,2,FALSE)*K32</f>
        <v>8.0658172252968757E-2</v>
      </c>
      <c r="N32" s="129">
        <f t="shared" si="6"/>
        <v>8.3705035546875004E-3</v>
      </c>
      <c r="O32" s="129" t="str">
        <f t="shared" si="16"/>
        <v/>
      </c>
      <c r="P32" s="65" t="str">
        <f t="shared" si="13"/>
        <v/>
      </c>
      <c r="Q32" s="72">
        <f t="shared" si="14"/>
        <v>2.3478472222222218</v>
      </c>
      <c r="R32" s="66"/>
      <c r="S32" s="142"/>
      <c r="T32" s="67"/>
      <c r="U32" s="62">
        <f>IF(S32&gt;0,S32+T32*Climbfaktor/1000,VLOOKUP($E32,CoursesBasis!B$4:J$15,9,FALSE))</f>
        <v>8.76</v>
      </c>
      <c r="V32" s="64" t="str">
        <f t="shared" si="17"/>
        <v/>
      </c>
      <c r="W32" s="64" t="str">
        <f t="shared" si="7"/>
        <v/>
      </c>
      <c r="X32" s="64" t="str">
        <f t="shared" si="15"/>
        <v/>
      </c>
      <c r="Y32" s="68"/>
      <c r="AB32" s="70">
        <f t="shared" ref="AB32:AB40" si="30">K32*IF(R32&gt;0,1,0)</f>
        <v>0</v>
      </c>
    </row>
    <row r="33" spans="1:28" x14ac:dyDescent="0.2">
      <c r="A33" s="59">
        <v>31</v>
      </c>
      <c r="B33" s="61" t="s">
        <v>28</v>
      </c>
      <c r="C33" s="60" t="str">
        <f t="shared" si="18"/>
        <v>Ehrl, Lionel - Einlauf nach Zielschluß</v>
      </c>
      <c r="D33" s="59" t="str">
        <f t="shared" si="1"/>
        <v>EL</v>
      </c>
      <c r="E33" s="61" t="s">
        <v>17</v>
      </c>
      <c r="F33" s="59" t="str">
        <f t="shared" si="2"/>
        <v>LEEL</v>
      </c>
      <c r="G33" s="59">
        <f t="shared" si="29"/>
        <v>6</v>
      </c>
      <c r="H33" s="62">
        <f t="shared" si="3"/>
        <v>1.0946448753401667</v>
      </c>
      <c r="I33" s="62">
        <f t="shared" si="4"/>
        <v>1</v>
      </c>
      <c r="J33" s="62">
        <f>VLOOKUP(L33-Parameters!$C$33,Zeit,2)</f>
        <v>1</v>
      </c>
      <c r="K33" s="63">
        <f t="shared" si="5"/>
        <v>1.0946448753401667</v>
      </c>
      <c r="L33" s="81">
        <f t="shared" si="12"/>
        <v>2.4285053944751906</v>
      </c>
      <c r="M33" s="82">
        <f>VLOOKUP(F33,TimeBasis!A:B,2,FALSE)*K33</f>
        <v>4.0574076542556528E-2</v>
      </c>
      <c r="N33" s="129">
        <f t="shared" si="6"/>
        <v>5.3211903662369218E-3</v>
      </c>
      <c r="O33" s="129" t="str">
        <f t="shared" si="16"/>
        <v/>
      </c>
      <c r="P33" s="65" t="str">
        <f t="shared" si="13"/>
        <v/>
      </c>
      <c r="Q33" s="72">
        <f t="shared" si="14"/>
        <v>2.3478472222222218</v>
      </c>
      <c r="R33" s="66"/>
      <c r="S33" s="142"/>
      <c r="T33" s="67"/>
      <c r="U33" s="62">
        <f>IF(S33&gt;0,S33+T33*Climbfaktor/1000,VLOOKUP($E33,CoursesBasis!B$4:J$15,9,FALSE))</f>
        <v>7.625</v>
      </c>
      <c r="V33" s="64" t="str">
        <f t="shared" si="17"/>
        <v/>
      </c>
      <c r="W33" s="64" t="str">
        <f t="shared" si="7"/>
        <v/>
      </c>
      <c r="X33" s="64" t="str">
        <f t="shared" si="15"/>
        <v/>
      </c>
      <c r="AB33" s="70">
        <f t="shared" si="30"/>
        <v>0</v>
      </c>
    </row>
    <row r="34" spans="1:28" x14ac:dyDescent="0.2">
      <c r="A34" s="59">
        <v>32</v>
      </c>
      <c r="B34" s="61" t="s">
        <v>30</v>
      </c>
      <c r="C34" s="60" t="str">
        <f t="shared" si="18"/>
        <v>Scheler, Thomas - Einlauf nach Zielschluß</v>
      </c>
      <c r="D34" s="59" t="str">
        <f t="shared" si="1"/>
        <v>ST</v>
      </c>
      <c r="E34" s="61" t="s">
        <v>18</v>
      </c>
      <c r="F34" s="59" t="str">
        <f t="shared" si="2"/>
        <v>LDST</v>
      </c>
      <c r="G34" s="59">
        <f t="shared" si="29"/>
        <v>6</v>
      </c>
      <c r="H34" s="62">
        <f t="shared" si="3"/>
        <v>1.0828142659226458</v>
      </c>
      <c r="I34" s="62">
        <f t="shared" si="4"/>
        <v>1</v>
      </c>
      <c r="J34" s="62">
        <f>VLOOKUP(L34-Parameters!$C$33,Zeit,2)</f>
        <v>1</v>
      </c>
      <c r="K34" s="63">
        <f t="shared" si="5"/>
        <v>1.0828142659226458</v>
      </c>
      <c r="L34" s="81">
        <f t="shared" si="12"/>
        <v>2.4690794710177473</v>
      </c>
      <c r="M34" s="82">
        <f>VLOOKUP(F34,TimeBasis!A:B,2,FALSE)*K34</f>
        <v>5.7070797420403711E-2</v>
      </c>
      <c r="N34" s="129">
        <f t="shared" si="6"/>
        <v>5.4516690471799883E-3</v>
      </c>
      <c r="O34" s="129" t="str">
        <f t="shared" si="16"/>
        <v/>
      </c>
      <c r="P34" s="65" t="str">
        <f t="shared" si="13"/>
        <v/>
      </c>
      <c r="Q34" s="72">
        <f t="shared" si="14"/>
        <v>2.3478472222222218</v>
      </c>
      <c r="R34" s="66"/>
      <c r="S34" s="142"/>
      <c r="T34" s="67"/>
      <c r="U34" s="62">
        <f>IF(S34&gt;0,S34+T34*Climbfaktor/1000,VLOOKUP($E34,CoursesBasis!B$4:J$15,9,FALSE))</f>
        <v>9.9700000000000006</v>
      </c>
      <c r="V34" s="64" t="str">
        <f t="shared" si="17"/>
        <v/>
      </c>
      <c r="W34" s="64" t="str">
        <f t="shared" si="7"/>
        <v/>
      </c>
      <c r="X34" s="64" t="str">
        <f t="shared" si="15"/>
        <v/>
      </c>
      <c r="AB34" s="70">
        <f t="shared" si="30"/>
        <v>0</v>
      </c>
    </row>
    <row r="35" spans="1:28" x14ac:dyDescent="0.2">
      <c r="A35" s="59">
        <v>33</v>
      </c>
      <c r="B35" s="61" t="s">
        <v>32</v>
      </c>
      <c r="C35" s="60" t="str">
        <f t="shared" si="18"/>
        <v>Lorenz-Baath, Katrin - Einlauf nach Zielschluß</v>
      </c>
      <c r="D35" s="59" t="str">
        <f t="shared" si="1"/>
        <v>LBK</v>
      </c>
      <c r="E35" s="61" t="s">
        <v>25</v>
      </c>
      <c r="F35" s="59" t="str">
        <f t="shared" ref="F35:F40" si="31">E35&amp;D35</f>
        <v>FFLBK</v>
      </c>
      <c r="G35" s="59">
        <f t="shared" si="29"/>
        <v>6</v>
      </c>
      <c r="H35" s="62">
        <f t="shared" si="3"/>
        <v>1.1010591668906666</v>
      </c>
      <c r="I35" s="62">
        <f t="shared" si="4"/>
        <v>1</v>
      </c>
      <c r="J35" s="62">
        <f>VLOOKUP(L35-Parameters!$C$33,Zeit,2)</f>
        <v>1</v>
      </c>
      <c r="K35" s="63">
        <f t="shared" si="5"/>
        <v>1.1010591668906666</v>
      </c>
      <c r="L35" s="81">
        <f t="shared" si="12"/>
        <v>2.5261502684381512</v>
      </c>
      <c r="M35" s="82">
        <f>VLOOKUP(F35,TimeBasis!A:B,2,FALSE)*K35</f>
        <v>3.1684124463911112E-2</v>
      </c>
      <c r="N35" s="129">
        <f t="shared" si="6"/>
        <v>5.7346831608888881E-3</v>
      </c>
      <c r="O35" s="129" t="str">
        <f t="shared" si="16"/>
        <v/>
      </c>
      <c r="P35" s="65" t="str">
        <f t="shared" si="13"/>
        <v/>
      </c>
      <c r="Q35" s="72">
        <f t="shared" si="14"/>
        <v>2.3478472222222218</v>
      </c>
      <c r="R35" s="66"/>
      <c r="S35" s="142"/>
      <c r="T35" s="67"/>
      <c r="U35" s="62">
        <f>IF(S35&gt;0,S35+T35*Climbfaktor/1000,VLOOKUP($E35,CoursesBasis!B$4:J$15,9,FALSE))</f>
        <v>5.5250000000000004</v>
      </c>
      <c r="V35" s="64" t="str">
        <f t="shared" si="17"/>
        <v/>
      </c>
      <c r="W35" s="64" t="str">
        <f t="shared" si="7"/>
        <v/>
      </c>
      <c r="X35" s="64" t="str">
        <f t="shared" si="15"/>
        <v/>
      </c>
      <c r="AB35" s="70">
        <f t="shared" si="30"/>
        <v>0</v>
      </c>
    </row>
    <row r="36" spans="1:28" x14ac:dyDescent="0.2">
      <c r="A36" s="59">
        <v>34</v>
      </c>
      <c r="B36" s="61" t="s">
        <v>34</v>
      </c>
      <c r="C36" s="60" t="str">
        <f t="shared" si="18"/>
        <v>Lexen, Gert - Einlauf nach Zielschluß</v>
      </c>
      <c r="D36" s="59" t="str">
        <f t="shared" si="1"/>
        <v>LG</v>
      </c>
      <c r="E36" s="61" t="s">
        <v>25</v>
      </c>
      <c r="F36" s="59" t="str">
        <f t="shared" si="31"/>
        <v>FFLG</v>
      </c>
      <c r="G36" s="59">
        <f t="shared" si="29"/>
        <v>6</v>
      </c>
      <c r="H36" s="62">
        <f t="shared" si="3"/>
        <v>1.1221644403953333</v>
      </c>
      <c r="I36" s="62">
        <f t="shared" si="4"/>
        <v>1</v>
      </c>
      <c r="J36" s="62">
        <f>VLOOKUP(L36-Parameters!$C$33,Zeit,2)</f>
        <v>1</v>
      </c>
      <c r="K36" s="63">
        <f t="shared" si="5"/>
        <v>1.1221644403953333</v>
      </c>
      <c r="L36" s="81">
        <f t="shared" ref="L36:L41" si="32">IF(AND(UPPER(MID($E36,2,1))="T",L35+M35&lt;Twilight),Twilight,L35+M35)</f>
        <v>2.5578343929020622</v>
      </c>
      <c r="M36" s="82">
        <f>VLOOKUP(F36,TimeBasis!A:B,2,FALSE)*K36</f>
        <v>3.2291450693667796E-2</v>
      </c>
      <c r="N36" s="129">
        <f t="shared" si="6"/>
        <v>5.8446064603923601E-3</v>
      </c>
      <c r="O36" s="129" t="str">
        <f t="shared" si="16"/>
        <v/>
      </c>
      <c r="P36" s="65" t="str">
        <f t="shared" si="13"/>
        <v/>
      </c>
      <c r="Q36" s="72">
        <f t="shared" si="14"/>
        <v>2.3478472222222218</v>
      </c>
      <c r="R36" s="66"/>
      <c r="S36" s="142"/>
      <c r="T36" s="67"/>
      <c r="U36" s="62">
        <f>IF(S36&gt;0,S36+T36*Climbfaktor/1000,VLOOKUP($E36,CoursesBasis!B$4:J$15,9,FALSE))</f>
        <v>5.5250000000000004</v>
      </c>
      <c r="V36" s="64" t="str">
        <f t="shared" si="17"/>
        <v/>
      </c>
      <c r="W36" s="64" t="str">
        <f t="shared" si="7"/>
        <v/>
      </c>
      <c r="X36" s="64" t="str">
        <f t="shared" si="15"/>
        <v/>
      </c>
      <c r="AB36" s="70">
        <f t="shared" si="30"/>
        <v>0</v>
      </c>
    </row>
    <row r="37" spans="1:28" x14ac:dyDescent="0.2">
      <c r="A37" s="59">
        <v>35</v>
      </c>
      <c r="B37" s="61" t="s">
        <v>35</v>
      </c>
      <c r="C37" s="60" t="str">
        <f t="shared" si="18"/>
        <v>Baath, Veikko - Einlauf nach Zielschluß</v>
      </c>
      <c r="D37" s="59" t="str">
        <f t="shared" si="1"/>
        <v>BV</v>
      </c>
      <c r="E37" s="61" t="s">
        <v>25</v>
      </c>
      <c r="F37" s="59" t="str">
        <f t="shared" si="31"/>
        <v>FFBV</v>
      </c>
      <c r="G37" s="59">
        <f t="shared" si="29"/>
        <v>6</v>
      </c>
      <c r="H37" s="62">
        <f t="shared" si="3"/>
        <v>1.1073753648213334</v>
      </c>
      <c r="I37" s="62">
        <f t="shared" si="4"/>
        <v>1</v>
      </c>
      <c r="J37" s="62">
        <f>VLOOKUP(L37-Parameters!$C$33,Zeit,2)</f>
        <v>1</v>
      </c>
      <c r="K37" s="63">
        <f t="shared" si="5"/>
        <v>1.1073753648213334</v>
      </c>
      <c r="L37" s="81">
        <f t="shared" si="32"/>
        <v>2.5901258435957302</v>
      </c>
      <c r="M37" s="82">
        <f>VLOOKUP(F37,TimeBasis!A:B,2,FALSE)*K37</f>
        <v>3.1865879638738895E-2</v>
      </c>
      <c r="N37" s="129">
        <f t="shared" si="6"/>
        <v>5.7675800251111107E-3</v>
      </c>
      <c r="O37" s="129" t="str">
        <f t="shared" si="16"/>
        <v/>
      </c>
      <c r="P37" s="65" t="str">
        <f t="shared" si="13"/>
        <v/>
      </c>
      <c r="Q37" s="72">
        <f t="shared" si="14"/>
        <v>2.3478472222222218</v>
      </c>
      <c r="R37" s="66"/>
      <c r="S37" s="142"/>
      <c r="T37" s="67"/>
      <c r="U37" s="62">
        <f>IF(S37&gt;0,S37+T37*Climbfaktor/1000,VLOOKUP($E37,CoursesBasis!B$4:J$15,9,FALSE))</f>
        <v>5.5250000000000004</v>
      </c>
      <c r="V37" s="64" t="str">
        <f t="shared" si="17"/>
        <v/>
      </c>
      <c r="W37" s="64" t="str">
        <f t="shared" si="7"/>
        <v/>
      </c>
      <c r="X37" s="64" t="str">
        <f t="shared" si="15"/>
        <v/>
      </c>
      <c r="AB37" s="70">
        <f t="shared" si="30"/>
        <v>0</v>
      </c>
    </row>
    <row r="38" spans="1:28" x14ac:dyDescent="0.2">
      <c r="A38" s="59">
        <v>36</v>
      </c>
      <c r="B38" s="61" t="s">
        <v>37</v>
      </c>
      <c r="C38" s="60" t="str">
        <f t="shared" si="18"/>
        <v>Scheler, Johanna - Einlauf nach Zielschluß</v>
      </c>
      <c r="D38" s="59" t="str">
        <f t="shared" si="1"/>
        <v>SJ</v>
      </c>
      <c r="E38" s="61" t="s">
        <v>25</v>
      </c>
      <c r="F38" s="59" t="str">
        <f t="shared" si="31"/>
        <v>FFSJ</v>
      </c>
      <c r="G38" s="59">
        <f t="shared" si="19"/>
        <v>6</v>
      </c>
      <c r="H38" s="62">
        <f t="shared" si="3"/>
        <v>1.1378297294921875</v>
      </c>
      <c r="I38" s="62">
        <f t="shared" si="4"/>
        <v>1</v>
      </c>
      <c r="J38" s="62">
        <f>VLOOKUP(L38-Parameters!$C$33,Zeit,2)</f>
        <v>1</v>
      </c>
      <c r="K38" s="63">
        <f t="shared" si="5"/>
        <v>1.1378297294921875</v>
      </c>
      <c r="L38" s="81">
        <f t="shared" si="32"/>
        <v>2.6219917232344692</v>
      </c>
      <c r="M38" s="82">
        <f>VLOOKUP(F38,TimeBasis!A:B,2,FALSE)*K38</f>
        <v>3.4925051419135204E-2</v>
      </c>
      <c r="N38" s="129">
        <f t="shared" si="6"/>
        <v>6.3212762749565972E-3</v>
      </c>
      <c r="O38" s="129" t="str">
        <f t="shared" si="16"/>
        <v/>
      </c>
      <c r="P38" s="65" t="str">
        <f t="shared" si="13"/>
        <v/>
      </c>
      <c r="Q38" s="72">
        <f t="shared" si="14"/>
        <v>2.3478472222222218</v>
      </c>
      <c r="R38" s="66"/>
      <c r="S38" s="142"/>
      <c r="T38" s="67"/>
      <c r="U38" s="62">
        <f>IF(S38&gt;0,S38+T38*Climbfaktor/1000,VLOOKUP($E38,CoursesBasis!B$4:J$15,9,FALSE))</f>
        <v>5.5250000000000004</v>
      </c>
      <c r="V38" s="64" t="str">
        <f t="shared" si="17"/>
        <v/>
      </c>
      <c r="W38" s="64" t="str">
        <f t="shared" si="7"/>
        <v/>
      </c>
      <c r="X38" s="64" t="str">
        <f t="shared" si="15"/>
        <v/>
      </c>
      <c r="AB38" s="70">
        <f t="shared" si="30"/>
        <v>0</v>
      </c>
    </row>
    <row r="39" spans="1:28" x14ac:dyDescent="0.2">
      <c r="A39" s="59">
        <v>37</v>
      </c>
      <c r="B39" s="61" t="s">
        <v>28</v>
      </c>
      <c r="C39" s="60" t="str">
        <f t="shared" si="18"/>
        <v>Ehrl, Lionel - Einlauf nach Zielschluß</v>
      </c>
      <c r="D39" s="59" t="str">
        <f t="shared" si="1"/>
        <v>EL</v>
      </c>
      <c r="E39" s="61" t="s">
        <v>25</v>
      </c>
      <c r="F39" s="59" t="str">
        <f t="shared" si="31"/>
        <v>FFEL</v>
      </c>
      <c r="G39" s="59">
        <f t="shared" si="19"/>
        <v>7</v>
      </c>
      <c r="H39" s="62">
        <f t="shared" si="3"/>
        <v>1.103352203871462</v>
      </c>
      <c r="I39" s="62">
        <f t="shared" si="4"/>
        <v>1</v>
      </c>
      <c r="J39" s="62">
        <f>VLOOKUP(L39-Parameters!$C$33,Zeit,2)</f>
        <v>1</v>
      </c>
      <c r="K39" s="63">
        <f t="shared" si="5"/>
        <v>1.103352203871462</v>
      </c>
      <c r="L39" s="81">
        <f t="shared" si="32"/>
        <v>2.6569167746536042</v>
      </c>
      <c r="M39" s="82">
        <f>VLOOKUP(F39,TimeBasis!A:B,2,FALSE)*K39</f>
        <v>2.9633435058839443E-2</v>
      </c>
      <c r="N39" s="129">
        <f t="shared" si="6"/>
        <v>5.3635176577084961E-3</v>
      </c>
      <c r="O39" s="129" t="str">
        <f t="shared" si="16"/>
        <v/>
      </c>
      <c r="P39" s="65" t="str">
        <f t="shared" si="13"/>
        <v/>
      </c>
      <c r="Q39" s="72">
        <f t="shared" si="14"/>
        <v>2.3478472222222218</v>
      </c>
      <c r="R39" s="66"/>
      <c r="S39" s="142"/>
      <c r="T39" s="67"/>
      <c r="U39" s="62">
        <f>IF(S39&gt;0,S39+T39*Climbfaktor/1000,VLOOKUP($E39,CoursesBasis!B$4:J$15,9,FALSE))</f>
        <v>5.5250000000000004</v>
      </c>
      <c r="V39" s="64" t="str">
        <f t="shared" si="17"/>
        <v/>
      </c>
      <c r="W39" s="64" t="str">
        <f t="shared" si="7"/>
        <v/>
      </c>
      <c r="X39" s="64" t="str">
        <f t="shared" si="15"/>
        <v/>
      </c>
      <c r="AB39" s="70">
        <f t="shared" si="30"/>
        <v>0</v>
      </c>
    </row>
    <row r="40" spans="1:28" x14ac:dyDescent="0.2">
      <c r="A40" s="59">
        <v>38</v>
      </c>
      <c r="B40" s="61" t="s">
        <v>30</v>
      </c>
      <c r="C40" s="60" t="str">
        <f t="shared" si="18"/>
        <v>Scheler, Thomas - Einlauf nach Zielschluß</v>
      </c>
      <c r="D40" s="59" t="str">
        <f t="shared" si="1"/>
        <v>ST</v>
      </c>
      <c r="E40" s="61" t="s">
        <v>25</v>
      </c>
      <c r="F40" s="59" t="str">
        <f t="shared" si="31"/>
        <v>FFST</v>
      </c>
      <c r="G40" s="59">
        <f t="shared" si="19"/>
        <v>7</v>
      </c>
      <c r="H40" s="62">
        <f t="shared" si="3"/>
        <v>1.0904331783875294</v>
      </c>
      <c r="I40" s="62">
        <f t="shared" si="4"/>
        <v>1</v>
      </c>
      <c r="J40" s="62">
        <f>VLOOKUP(L40-Parameters!$C$33,Zeit,2)</f>
        <v>1</v>
      </c>
      <c r="K40" s="63">
        <f>H40*I40*J40</f>
        <v>1.0904331783875294</v>
      </c>
      <c r="L40" s="81">
        <f t="shared" si="32"/>
        <v>2.6865502097124438</v>
      </c>
      <c r="M40" s="82">
        <f>VLOOKUP(F40,TimeBasis!A:B,2,FALSE)*K40</f>
        <v>3.0332405556795474E-2</v>
      </c>
      <c r="N40" s="129">
        <f t="shared" si="6"/>
        <v>5.4900281550761031E-3</v>
      </c>
      <c r="O40" s="129" t="str">
        <f t="shared" si="16"/>
        <v/>
      </c>
      <c r="P40" s="65" t="str">
        <f t="shared" si="13"/>
        <v/>
      </c>
      <c r="Q40" s="72">
        <f t="shared" si="14"/>
        <v>2.3478472222222218</v>
      </c>
      <c r="R40" s="66"/>
      <c r="S40" s="142"/>
      <c r="T40" s="67"/>
      <c r="U40" s="62">
        <f>IF(S40&gt;0,S40+T40*Climbfaktor/1000,VLOOKUP($E40,CoursesBasis!B$4:J$15,9,FALSE))</f>
        <v>5.5250000000000004</v>
      </c>
      <c r="V40" s="64" t="str">
        <f t="shared" si="17"/>
        <v/>
      </c>
      <c r="W40" s="64" t="str">
        <f t="shared" si="7"/>
        <v/>
      </c>
      <c r="X40" s="64" t="str">
        <f t="shared" si="15"/>
        <v/>
      </c>
      <c r="AB40" s="70">
        <f t="shared" si="30"/>
        <v>0</v>
      </c>
    </row>
    <row r="41" spans="1:28" x14ac:dyDescent="0.2">
      <c r="A41" s="111"/>
      <c r="B41" s="111"/>
      <c r="C41" s="112"/>
      <c r="D41" s="111"/>
      <c r="E41" s="111"/>
      <c r="F41" s="111"/>
      <c r="G41" s="113"/>
      <c r="H41" s="114"/>
      <c r="I41" s="114"/>
      <c r="J41" s="115"/>
      <c r="K41" s="115"/>
      <c r="L41" s="116">
        <f t="shared" si="32"/>
        <v>2.7168826152692391</v>
      </c>
      <c r="M41" s="117">
        <f>SUM(M3:M40)</f>
        <v>1.3240535366765589</v>
      </c>
      <c r="N41" s="117"/>
      <c r="O41" s="118"/>
      <c r="P41" s="119"/>
      <c r="Q41" s="120">
        <f t="shared" si="14"/>
        <v>2.3478472222222218</v>
      </c>
      <c r="R41" s="117">
        <f>SUM(R3:R40)</f>
        <v>0.9728472222222222</v>
      </c>
      <c r="S41" s="122">
        <f>SUM(S3:S40)</f>
        <v>51.31</v>
      </c>
      <c r="T41" s="121">
        <f>SUM(T3:T40)</f>
        <v>1145</v>
      </c>
      <c r="U41" s="122">
        <f>AVERAGE(U3:U40)</f>
        <v>6.0851315789473679</v>
      </c>
      <c r="V41" s="123"/>
      <c r="W41" s="123"/>
      <c r="X41" s="123"/>
      <c r="Y41" s="124"/>
      <c r="Z41" s="125"/>
      <c r="AA41" s="125"/>
      <c r="AB41" s="125"/>
    </row>
  </sheetData>
  <mergeCells count="19">
    <mergeCell ref="AD1:AI1"/>
    <mergeCell ref="Z2:AA2"/>
    <mergeCell ref="Z27:AB27"/>
    <mergeCell ref="Z28:AB28"/>
    <mergeCell ref="Z17:AB17"/>
    <mergeCell ref="Z18:AB18"/>
    <mergeCell ref="Z19:AB19"/>
    <mergeCell ref="Z20:AB20"/>
    <mergeCell ref="Z21:AB21"/>
    <mergeCell ref="Z22:AB22"/>
    <mergeCell ref="Z23:AB23"/>
    <mergeCell ref="Z24:AB24"/>
    <mergeCell ref="Z26:AB26"/>
    <mergeCell ref="H1:K1"/>
    <mergeCell ref="V1:X1"/>
    <mergeCell ref="A1:D1"/>
    <mergeCell ref="E1:F1"/>
    <mergeCell ref="R1:U1"/>
    <mergeCell ref="L1:O1"/>
  </mergeCells>
  <phoneticPr fontId="1" type="noConversion"/>
  <conditionalFormatting sqref="E4:E40 L4:L41 O41:Q41 L3:M40">
    <cfRule type="expression" dxfId="18" priority="25" stopIfTrue="1">
      <formula>OR(AND($L2&lt;Twilight,$L3&gt;=Twilight),AND($L1&lt;Twilight,$L2&gt;=Twilight))</formula>
    </cfRule>
  </conditionalFormatting>
  <conditionalFormatting sqref="AC4:AC14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3:AC14">
    <cfRule type="colorScale" priority="17">
      <colorScale>
        <cfvo type="num" val="-3"/>
        <cfvo type="num" val="0"/>
        <cfvo type="num" val="3"/>
        <color rgb="FF63BE7B"/>
        <color rgb="FFFFEB84"/>
        <color rgb="FFF8696B"/>
      </colorScale>
    </cfRule>
  </conditionalFormatting>
  <conditionalFormatting sqref="R9:W40 E9:G40 J9:M40 A12:B40 A9:A11 B3:B38 L3:M40">
    <cfRule type="expression" dxfId="17" priority="26" stopIfTrue="1">
      <formula>$Q4&gt;Endzeit</formula>
    </cfRule>
  </conditionalFormatting>
  <conditionalFormatting sqref="C3:C40">
    <cfRule type="containsText" dxfId="16" priority="2" operator="containsText" text="Zielschluß">
      <formula>NOT(ISERROR(SEARCH("Zielschluß",C3)))</formula>
    </cfRule>
    <cfRule type="expression" dxfId="15" priority="16" stopIfTrue="1">
      <formula>$Q4&gt;Endzeit</formula>
    </cfRule>
  </conditionalFormatting>
  <conditionalFormatting sqref="D3:D40">
    <cfRule type="expression" dxfId="14" priority="15" stopIfTrue="1">
      <formula>$Q4&gt;Endzeit</formula>
    </cfRule>
  </conditionalFormatting>
  <conditionalFormatting sqref="M17">
    <cfRule type="expression" dxfId="13" priority="14" stopIfTrue="1">
      <formula>OR(AND($L16&lt;Twilight,$L17&gt;=Twilight),AND($L15&lt;Twilight,$L16&gt;=Twilight))</formula>
    </cfRule>
  </conditionalFormatting>
  <conditionalFormatting sqref="M3:M40">
    <cfRule type="expression" dxfId="12" priority="13" stopIfTrue="1">
      <formula>OR(AND($L2&lt;Twilight,$L3&gt;=Twilight),AND($L1&lt;Twilight,$L2&gt;=Twilight))</formula>
    </cfRule>
  </conditionalFormatting>
  <conditionalFormatting sqref="AD3:AI14">
    <cfRule type="expression" dxfId="11" priority="11" stopIfTrue="1">
      <formula>OR(AND($L2&lt;Twilight,$L3&gt;=Twilight),AND($L1&lt;Twilight,$L2&gt;=Twilight))</formula>
    </cfRule>
  </conditionalFormatting>
  <conditionalFormatting sqref="AD3:AI14">
    <cfRule type="expression" dxfId="10" priority="12" stopIfTrue="1">
      <formula>$Q4&gt;Endzeit</formula>
    </cfRule>
  </conditionalFormatting>
  <conditionalFormatting sqref="AD3:AI14">
    <cfRule type="expression" dxfId="9" priority="10" stopIfTrue="1">
      <formula>OR(AND($L2&lt;Twilight,$L3&gt;=Twilight),AND($L1&lt;Twilight,$L2&gt;=Twilight))</formula>
    </cfRule>
  </conditionalFormatting>
  <conditionalFormatting sqref="X3:X40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:N40">
    <cfRule type="expression" dxfId="8" priority="7" stopIfTrue="1">
      <formula>OR(AND($L2&lt;Twilight,$L3&gt;=Twilight),AND($L1&lt;Twilight,$L2&gt;=Twilight))</formula>
    </cfRule>
  </conditionalFormatting>
  <conditionalFormatting sqref="N3:N40">
    <cfRule type="expression" dxfId="7" priority="8" stopIfTrue="1">
      <formula>$Q4&gt;Endzeit</formula>
    </cfRule>
  </conditionalFormatting>
  <conditionalFormatting sqref="N3:N40">
    <cfRule type="expression" dxfId="6" priority="6" stopIfTrue="1">
      <formula>OR(AND($L2&lt;Twilight,$L3&gt;=Twilight),AND($L1&lt;Twilight,$L2&gt;=Twilight))</formula>
    </cfRule>
  </conditionalFormatting>
  <conditionalFormatting sqref="O3:O40">
    <cfRule type="expression" dxfId="5" priority="4" stopIfTrue="1">
      <formula>OR(AND($L2&lt;Twilight,$L3&gt;=Twilight),AND($L1&lt;Twilight,$L2&gt;=Twilight))</formula>
    </cfRule>
  </conditionalFormatting>
  <conditionalFormatting sqref="O3:O40">
    <cfRule type="expression" dxfId="4" priority="5" stopIfTrue="1">
      <formula>$Q4&gt;Endzeit</formula>
    </cfRule>
  </conditionalFormatting>
  <conditionalFormatting sqref="O3:O40">
    <cfRule type="expression" dxfId="3" priority="3" stopIfTrue="1">
      <formula>OR(AND($L2&lt;Twilight,$L3&gt;=Twilight),AND($L1&lt;Twilight,$L2&gt;=Twilight))</formula>
    </cfRule>
  </conditionalFormatting>
  <conditionalFormatting sqref="V3:V40">
    <cfRule type="cellIs" dxfId="2" priority="33" stopIfTrue="1" operator="greaterThan">
      <formula>#REF!</formula>
    </cfRule>
    <cfRule type="cellIs" dxfId="1" priority="34" stopIfTrue="1" operator="lessThanOrEqual">
      <formula>$U3</formula>
    </cfRule>
  </conditionalFormatting>
  <conditionalFormatting sqref="B3:B40">
    <cfRule type="expression" dxfId="0" priority="1" stopIfTrue="1">
      <formula>OR(AND($L2&lt;Twilight,$L3&gt;=Twilight),AND($L1&lt;Twilight,$L2&gt;=Twilight))</formula>
    </cfRule>
  </conditionalFormatting>
  <printOptions horizontalCentered="1" verticalCentered="1"/>
  <pageMargins left="0.19685039370078741" right="0.19685039370078741" top="0.78740157480314965" bottom="0.43307086614173229" header="0.31496062992125984" footer="0.15748031496062992"/>
  <pageSetup paperSize="9" scale="80" orientation="landscape" horizontalDpi="4294967293" r:id="rId1"/>
  <headerFooter alignWithMargins="0">
    <oddHeader>&amp;L24-h-OL am 11./12.05.2013&amp;C&amp;36Plan für Team 26: &amp;"Arial,Fett"'s passt scho&amp;RMartinroda</oddHeader>
    <oddFooter>&amp;LErstellt von Valerio Casanova (2009)
Überarbeitet von Veikko Baath (2013)&amp;C&amp;D&amp;R&amp;F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workbookViewId="0">
      <selection activeCell="Q5" sqref="Q5"/>
    </sheetView>
  </sheetViews>
  <sheetFormatPr baseColWidth="10" defaultColWidth="9.140625" defaultRowHeight="12.75" x14ac:dyDescent="0.2"/>
  <cols>
    <col min="1" max="1" width="18.85546875" bestFit="1" customWidth="1"/>
    <col min="2" max="2" width="4.85546875" bestFit="1" customWidth="1"/>
    <col min="3" max="3" width="2" bestFit="1" customWidth="1"/>
    <col min="4" max="4" width="13.5703125" bestFit="1" customWidth="1"/>
    <col min="5" max="5" width="1.140625" customWidth="1"/>
    <col min="6" max="6" width="5.5703125" bestFit="1" customWidth="1"/>
    <col min="7" max="7" width="6.140625" bestFit="1" customWidth="1"/>
    <col min="8" max="8" width="6" bestFit="1" customWidth="1"/>
    <col min="9" max="9" width="6.5703125" bestFit="1" customWidth="1"/>
    <col min="10" max="10" width="7.5703125" bestFit="1" customWidth="1"/>
    <col min="11" max="11" width="1" customWidth="1"/>
    <col min="12" max="17" width="7.140625" bestFit="1" customWidth="1"/>
    <col min="18" max="18" width="1" customWidth="1"/>
    <col min="19" max="24" width="3.7109375" customWidth="1"/>
    <col min="25" max="25" width="1" customWidth="1"/>
    <col min="26" max="31" width="3.7109375" customWidth="1"/>
  </cols>
  <sheetData>
    <row r="1" spans="1:31" ht="6.75" customHeight="1" x14ac:dyDescent="0.2"/>
    <row r="2" spans="1:31" ht="15.75" x14ac:dyDescent="0.25">
      <c r="A2" s="3"/>
      <c r="B2" s="3"/>
      <c r="C2" s="3"/>
      <c r="D2" s="3"/>
      <c r="E2" s="7"/>
      <c r="F2" s="3"/>
      <c r="G2" s="3"/>
      <c r="H2" s="3"/>
      <c r="I2" s="3"/>
      <c r="J2" s="3"/>
      <c r="K2" s="7"/>
      <c r="L2" s="181" t="s">
        <v>82</v>
      </c>
      <c r="M2" s="182"/>
      <c r="N2" s="182"/>
      <c r="O2" s="182"/>
      <c r="P2" s="182"/>
      <c r="Q2" s="183"/>
      <c r="R2" s="7"/>
      <c r="S2" s="178" t="s">
        <v>77</v>
      </c>
      <c r="T2" s="179"/>
      <c r="U2" s="179"/>
      <c r="V2" s="179"/>
      <c r="W2" s="179"/>
      <c r="X2" s="180"/>
      <c r="Y2" s="7"/>
      <c r="Z2" s="175" t="s">
        <v>81</v>
      </c>
      <c r="AA2" s="176"/>
      <c r="AB2" s="176"/>
      <c r="AC2" s="176"/>
      <c r="AD2" s="176"/>
      <c r="AE2" s="177"/>
    </row>
    <row r="3" spans="1:31" x14ac:dyDescent="0.2">
      <c r="A3" s="1" t="s">
        <v>42</v>
      </c>
      <c r="B3" s="1"/>
      <c r="C3" s="1" t="s">
        <v>41</v>
      </c>
      <c r="D3" s="1" t="s">
        <v>45</v>
      </c>
      <c r="E3" s="11"/>
      <c r="F3" s="1" t="s">
        <v>73</v>
      </c>
      <c r="G3" s="1" t="s">
        <v>72</v>
      </c>
      <c r="H3" s="1" t="s">
        <v>26</v>
      </c>
      <c r="I3" s="1" t="s">
        <v>27</v>
      </c>
      <c r="J3" s="1" t="s">
        <v>60</v>
      </c>
      <c r="K3" s="11"/>
      <c r="L3" s="1" t="str">
        <f>Parameters!D13</f>
        <v>EL</v>
      </c>
      <c r="M3" s="1" t="str">
        <f>Parameters!E13</f>
        <v>ST</v>
      </c>
      <c r="N3" s="1" t="str">
        <f>Parameters!F13</f>
        <v>LBK</v>
      </c>
      <c r="O3" s="1" t="str">
        <f>Parameters!G13</f>
        <v>LG</v>
      </c>
      <c r="P3" s="1" t="str">
        <f>Parameters!H13</f>
        <v>BV</v>
      </c>
      <c r="Q3" s="1" t="str">
        <f>Parameters!I13</f>
        <v>SJ</v>
      </c>
      <c r="R3" s="11"/>
      <c r="S3" s="12" t="s">
        <v>38</v>
      </c>
      <c r="T3" s="12" t="s">
        <v>39</v>
      </c>
      <c r="U3" s="12" t="s">
        <v>19</v>
      </c>
      <c r="V3" s="12" t="s">
        <v>76</v>
      </c>
      <c r="W3" s="12" t="s">
        <v>40</v>
      </c>
      <c r="X3" s="12" t="s">
        <v>70</v>
      </c>
      <c r="Y3" s="11"/>
      <c r="Z3" s="14" t="s">
        <v>38</v>
      </c>
      <c r="AA3" s="14" t="s">
        <v>39</v>
      </c>
      <c r="AB3" s="14" t="s">
        <v>19</v>
      </c>
      <c r="AC3" s="14" t="s">
        <v>76</v>
      </c>
      <c r="AD3" s="14" t="s">
        <v>40</v>
      </c>
      <c r="AE3" s="14" t="s">
        <v>70</v>
      </c>
    </row>
    <row r="4" spans="1:31" x14ac:dyDescent="0.2">
      <c r="A4" s="1" t="s">
        <v>2</v>
      </c>
      <c r="B4" s="1" t="s">
        <v>14</v>
      </c>
      <c r="C4" s="42">
        <v>1</v>
      </c>
      <c r="D4" s="2" t="s">
        <v>34</v>
      </c>
      <c r="E4" s="7"/>
      <c r="F4" s="132">
        <v>5.4</v>
      </c>
      <c r="G4" s="132">
        <f>F4</f>
        <v>5.4</v>
      </c>
      <c r="H4" s="42">
        <v>120</v>
      </c>
      <c r="I4" s="42">
        <f>H4</f>
        <v>120</v>
      </c>
      <c r="J4" s="8">
        <f t="shared" ref="J4:J15" si="0">(F4+G4)/2+(H4+I4)/2*Climbfaktor/1000</f>
        <v>6.24</v>
      </c>
      <c r="K4" s="7"/>
      <c r="L4" s="83">
        <f t="shared" ref="L4:Q15" si="1">VLOOKUP(L$3,Basis,2,FALSE)*VLOOKUP($B4,Schwierigkeit,2,FALSE)*$J4</f>
        <v>3.0333333333333334E-2</v>
      </c>
      <c r="M4" s="83">
        <f t="shared" si="1"/>
        <v>3.1416666666666669E-2</v>
      </c>
      <c r="N4" s="83">
        <f t="shared" si="1"/>
        <v>3.2500000000000001E-2</v>
      </c>
      <c r="O4" s="83">
        <f t="shared" si="1"/>
        <v>3.2500000000000001E-2</v>
      </c>
      <c r="P4" s="83">
        <f t="shared" si="1"/>
        <v>3.2500000000000001E-2</v>
      </c>
      <c r="Q4" s="83">
        <f t="shared" si="1"/>
        <v>3.4666666666666672E-2</v>
      </c>
      <c r="R4" s="7"/>
      <c r="S4" s="13">
        <v>45</v>
      </c>
      <c r="T4" s="13"/>
      <c r="U4" s="13"/>
      <c r="V4" s="13"/>
      <c r="W4" s="13"/>
      <c r="X4" s="13"/>
      <c r="Y4" s="7"/>
      <c r="Z4" s="15">
        <v>30</v>
      </c>
      <c r="AA4" s="15"/>
      <c r="AB4" s="15"/>
      <c r="AC4" s="15"/>
      <c r="AD4" s="15"/>
      <c r="AE4" s="15"/>
    </row>
    <row r="5" spans="1:31" x14ac:dyDescent="0.2">
      <c r="A5" s="1" t="s">
        <v>3</v>
      </c>
      <c r="B5" s="1" t="s">
        <v>15</v>
      </c>
      <c r="C5" s="42">
        <v>4</v>
      </c>
      <c r="D5" s="2" t="s">
        <v>35</v>
      </c>
      <c r="E5" s="7"/>
      <c r="F5" s="132">
        <v>4</v>
      </c>
      <c r="G5" s="132">
        <v>4</v>
      </c>
      <c r="H5" s="42">
        <v>70</v>
      </c>
      <c r="I5" s="42">
        <v>100</v>
      </c>
      <c r="J5" s="8">
        <f t="shared" si="0"/>
        <v>4.5949999999999998</v>
      </c>
      <c r="K5" s="7"/>
      <c r="L5" s="83">
        <f t="shared" si="1"/>
        <v>2.0103124999999999E-2</v>
      </c>
      <c r="M5" s="83">
        <f t="shared" si="1"/>
        <v>2.0821093750000002E-2</v>
      </c>
      <c r="N5" s="83">
        <f t="shared" si="1"/>
        <v>2.1539062499999997E-2</v>
      </c>
      <c r="O5" s="83">
        <f t="shared" si="1"/>
        <v>2.1539062499999997E-2</v>
      </c>
      <c r="P5" s="83">
        <f t="shared" si="1"/>
        <v>2.1539062499999997E-2</v>
      </c>
      <c r="Q5" s="83">
        <f t="shared" si="1"/>
        <v>2.2974999999999999E-2</v>
      </c>
      <c r="R5" s="7"/>
      <c r="S5" s="13"/>
      <c r="T5" s="13"/>
      <c r="U5" s="13"/>
      <c r="V5" s="13"/>
      <c r="W5" s="13"/>
      <c r="X5" s="13"/>
      <c r="Y5" s="7"/>
      <c r="Z5" s="15"/>
      <c r="AA5" s="15"/>
      <c r="AB5" s="15"/>
      <c r="AC5" s="15"/>
      <c r="AD5" s="15"/>
      <c r="AE5" s="15">
        <v>37</v>
      </c>
    </row>
    <row r="6" spans="1:31" x14ac:dyDescent="0.2">
      <c r="A6" s="1" t="s">
        <v>4</v>
      </c>
      <c r="B6" s="1" t="s">
        <v>16</v>
      </c>
      <c r="C6" s="42">
        <v>4</v>
      </c>
      <c r="D6" s="2" t="s">
        <v>34</v>
      </c>
      <c r="E6" s="7"/>
      <c r="F6" s="132">
        <v>4.9000000000000004</v>
      </c>
      <c r="G6" s="132">
        <v>5.0999999999999996</v>
      </c>
      <c r="H6" s="42">
        <v>100</v>
      </c>
      <c r="I6" s="42">
        <v>130</v>
      </c>
      <c r="J6" s="8">
        <f t="shared" si="0"/>
        <v>5.8049999999999997</v>
      </c>
      <c r="K6" s="7"/>
      <c r="L6" s="83">
        <f t="shared" si="1"/>
        <v>2.8218750000000001E-2</v>
      </c>
      <c r="M6" s="83">
        <f t="shared" si="1"/>
        <v>2.9226562500000001E-2</v>
      </c>
      <c r="N6" s="83">
        <f t="shared" si="1"/>
        <v>3.0234374999999997E-2</v>
      </c>
      <c r="O6" s="83">
        <f t="shared" si="1"/>
        <v>3.0234374999999997E-2</v>
      </c>
      <c r="P6" s="83">
        <f t="shared" si="1"/>
        <v>3.0234374999999997E-2</v>
      </c>
      <c r="Q6" s="83">
        <f t="shared" si="1"/>
        <v>3.2250000000000001E-2</v>
      </c>
      <c r="R6" s="7"/>
      <c r="S6" s="13"/>
      <c r="T6" s="13"/>
      <c r="U6" s="13"/>
      <c r="V6" s="13"/>
      <c r="W6" s="13"/>
      <c r="X6" s="13"/>
      <c r="Y6" s="7"/>
      <c r="Z6" s="15"/>
      <c r="AA6" s="15">
        <v>42</v>
      </c>
      <c r="AB6" s="15"/>
      <c r="AC6" s="15"/>
      <c r="AD6" s="15"/>
      <c r="AE6" s="15">
        <v>54</v>
      </c>
    </row>
    <row r="7" spans="1:31" x14ac:dyDescent="0.2">
      <c r="A7" s="1" t="s">
        <v>5</v>
      </c>
      <c r="B7" s="1" t="s">
        <v>17</v>
      </c>
      <c r="C7" s="42">
        <v>4</v>
      </c>
      <c r="D7" s="2" t="s">
        <v>35</v>
      </c>
      <c r="E7" s="7"/>
      <c r="F7" s="132">
        <v>6.6</v>
      </c>
      <c r="G7" s="132">
        <v>6.9</v>
      </c>
      <c r="H7" s="42">
        <v>100</v>
      </c>
      <c r="I7" s="42">
        <v>150</v>
      </c>
      <c r="J7" s="8">
        <f t="shared" si="0"/>
        <v>7.625</v>
      </c>
      <c r="K7" s="7"/>
      <c r="L7" s="83">
        <f t="shared" si="1"/>
        <v>3.7065972222222222E-2</v>
      </c>
      <c r="M7" s="83">
        <f t="shared" si="1"/>
        <v>3.838975694444445E-2</v>
      </c>
      <c r="N7" s="83">
        <f t="shared" si="1"/>
        <v>3.9713541666666664E-2</v>
      </c>
      <c r="O7" s="83">
        <f t="shared" si="1"/>
        <v>3.9713541666666664E-2</v>
      </c>
      <c r="P7" s="83">
        <f t="shared" si="1"/>
        <v>3.9713541666666664E-2</v>
      </c>
      <c r="Q7" s="83">
        <f t="shared" si="1"/>
        <v>4.2361111111111113E-2</v>
      </c>
      <c r="R7" s="7"/>
      <c r="S7" s="13"/>
      <c r="T7" s="13"/>
      <c r="U7" s="13"/>
      <c r="V7" s="13"/>
      <c r="W7" s="13"/>
      <c r="X7" s="13"/>
      <c r="Y7" s="7"/>
      <c r="Z7" s="15">
        <v>53</v>
      </c>
      <c r="AA7" s="15">
        <v>53</v>
      </c>
      <c r="AB7" s="15"/>
      <c r="AC7" s="15"/>
      <c r="AD7" s="15">
        <f>AVERAGE(48,60)</f>
        <v>54</v>
      </c>
      <c r="AE7" s="15"/>
    </row>
    <row r="8" spans="1:31" x14ac:dyDescent="0.2">
      <c r="A8" s="1" t="s">
        <v>6</v>
      </c>
      <c r="B8" s="1" t="s">
        <v>18</v>
      </c>
      <c r="C8" s="42">
        <v>3</v>
      </c>
      <c r="D8" s="2" t="s">
        <v>34</v>
      </c>
      <c r="E8" s="7"/>
      <c r="F8" s="132">
        <v>8.3000000000000007</v>
      </c>
      <c r="G8" s="132">
        <v>8.6999999999999993</v>
      </c>
      <c r="H8" s="42">
        <v>200</v>
      </c>
      <c r="I8" s="42">
        <v>220</v>
      </c>
      <c r="J8" s="8">
        <f t="shared" si="0"/>
        <v>9.9700000000000006</v>
      </c>
      <c r="K8" s="7"/>
      <c r="L8" s="83">
        <f t="shared" si="1"/>
        <v>5.0888541666666669E-2</v>
      </c>
      <c r="M8" s="83">
        <f t="shared" si="1"/>
        <v>5.2705989583333342E-2</v>
      </c>
      <c r="N8" s="83">
        <f t="shared" si="1"/>
        <v>5.4523437500000001E-2</v>
      </c>
      <c r="O8" s="83">
        <f t="shared" si="1"/>
        <v>5.4523437500000001E-2</v>
      </c>
      <c r="P8" s="83">
        <f t="shared" si="1"/>
        <v>5.4523437500000001E-2</v>
      </c>
      <c r="Q8" s="83">
        <f t="shared" si="1"/>
        <v>5.815833333333334E-2</v>
      </c>
      <c r="R8" s="7"/>
      <c r="S8" s="13"/>
      <c r="T8" s="13"/>
      <c r="U8" s="13"/>
      <c r="V8" s="13"/>
      <c r="W8" s="13"/>
      <c r="X8" s="13"/>
      <c r="Y8" s="7"/>
      <c r="Z8" s="15">
        <v>58</v>
      </c>
      <c r="AA8" s="15">
        <v>75</v>
      </c>
      <c r="AB8" s="15"/>
      <c r="AC8" s="15"/>
      <c r="AD8" s="15"/>
      <c r="AE8" s="15"/>
    </row>
    <row r="9" spans="1:31" x14ac:dyDescent="0.2">
      <c r="A9" s="1" t="s">
        <v>7</v>
      </c>
      <c r="B9" s="1" t="s">
        <v>19</v>
      </c>
      <c r="C9" s="42">
        <v>1</v>
      </c>
      <c r="D9" s="2" t="s">
        <v>35</v>
      </c>
      <c r="E9" s="7"/>
      <c r="F9" s="132">
        <v>3.7</v>
      </c>
      <c r="G9" s="132">
        <f>F9</f>
        <v>3.7</v>
      </c>
      <c r="H9" s="42">
        <v>80</v>
      </c>
      <c r="I9" s="42">
        <f>H9</f>
        <v>80</v>
      </c>
      <c r="J9" s="8">
        <f t="shared" si="0"/>
        <v>4.26</v>
      </c>
      <c r="K9" s="7"/>
      <c r="L9" s="83">
        <f t="shared" si="1"/>
        <v>1.8637500000000001E-2</v>
      </c>
      <c r="M9" s="83">
        <f t="shared" si="1"/>
        <v>1.9303125000000001E-2</v>
      </c>
      <c r="N9" s="83">
        <f t="shared" si="1"/>
        <v>1.9968749999999997E-2</v>
      </c>
      <c r="O9" s="83">
        <f t="shared" si="1"/>
        <v>1.9968749999999997E-2</v>
      </c>
      <c r="P9" s="83">
        <f t="shared" si="1"/>
        <v>1.9968749999999997E-2</v>
      </c>
      <c r="Q9" s="83">
        <f t="shared" si="1"/>
        <v>2.1299999999999999E-2</v>
      </c>
      <c r="R9" s="7"/>
      <c r="S9" s="13"/>
      <c r="T9" s="13"/>
      <c r="U9" s="13"/>
      <c r="V9" s="13"/>
      <c r="W9" s="13"/>
      <c r="X9" s="13"/>
      <c r="Y9" s="7"/>
      <c r="Z9" s="15"/>
      <c r="AA9" s="15"/>
      <c r="AB9" s="15"/>
      <c r="AC9" s="15"/>
      <c r="AD9" s="15"/>
      <c r="AE9" s="15"/>
    </row>
    <row r="10" spans="1:31" x14ac:dyDescent="0.2">
      <c r="A10" s="1" t="s">
        <v>8</v>
      </c>
      <c r="B10" s="1" t="s">
        <v>20</v>
      </c>
      <c r="C10" s="42">
        <v>1</v>
      </c>
      <c r="D10" s="2" t="s">
        <v>35</v>
      </c>
      <c r="E10" s="7"/>
      <c r="F10" s="132">
        <v>5</v>
      </c>
      <c r="G10" s="132">
        <f>F10</f>
        <v>5</v>
      </c>
      <c r="H10" s="42">
        <v>140</v>
      </c>
      <c r="I10" s="42">
        <f>H10</f>
        <v>140</v>
      </c>
      <c r="J10" s="8">
        <f t="shared" si="0"/>
        <v>5.98</v>
      </c>
      <c r="K10" s="7"/>
      <c r="L10" s="83">
        <f t="shared" si="1"/>
        <v>2.9069444444444446E-2</v>
      </c>
      <c r="M10" s="83">
        <f t="shared" si="1"/>
        <v>3.0107638888888892E-2</v>
      </c>
      <c r="N10" s="83">
        <f t="shared" si="1"/>
        <v>3.1145833333333334E-2</v>
      </c>
      <c r="O10" s="83">
        <f t="shared" si="1"/>
        <v>3.1145833333333334E-2</v>
      </c>
      <c r="P10" s="83">
        <f t="shared" si="1"/>
        <v>3.1145833333333334E-2</v>
      </c>
      <c r="Q10" s="83">
        <f t="shared" si="1"/>
        <v>3.3222222222222222E-2</v>
      </c>
      <c r="R10" s="7"/>
      <c r="S10" s="13"/>
      <c r="T10" s="13"/>
      <c r="U10" s="13"/>
      <c r="V10" s="13"/>
      <c r="W10" s="13"/>
      <c r="X10" s="13"/>
      <c r="Y10" s="7"/>
      <c r="Z10" s="15"/>
      <c r="AA10" s="15"/>
      <c r="AB10" s="15"/>
      <c r="AC10" s="15"/>
      <c r="AD10" s="15">
        <v>36</v>
      </c>
      <c r="AE10" s="15"/>
    </row>
    <row r="11" spans="1:31" x14ac:dyDescent="0.2">
      <c r="A11" s="1" t="s">
        <v>9</v>
      </c>
      <c r="B11" s="1" t="s">
        <v>21</v>
      </c>
      <c r="C11" s="42">
        <v>5</v>
      </c>
      <c r="D11" s="2" t="s">
        <v>35</v>
      </c>
      <c r="E11" s="7"/>
      <c r="F11" s="132">
        <v>2.8</v>
      </c>
      <c r="G11" s="132">
        <v>3.1</v>
      </c>
      <c r="H11" s="42">
        <v>80</v>
      </c>
      <c r="I11" s="42">
        <v>90</v>
      </c>
      <c r="J11" s="8">
        <f t="shared" si="0"/>
        <v>3.5449999999999999</v>
      </c>
      <c r="K11" s="7"/>
      <c r="L11" s="83">
        <f t="shared" si="1"/>
        <v>1.5509375000000001E-2</v>
      </c>
      <c r="M11" s="83">
        <f t="shared" si="1"/>
        <v>1.6063281250000002E-2</v>
      </c>
      <c r="N11" s="83">
        <f t="shared" si="1"/>
        <v>1.6617187499999998E-2</v>
      </c>
      <c r="O11" s="83">
        <f t="shared" si="1"/>
        <v>1.6617187499999998E-2</v>
      </c>
      <c r="P11" s="83">
        <f t="shared" si="1"/>
        <v>1.6617187499999998E-2</v>
      </c>
      <c r="Q11" s="83">
        <f t="shared" si="1"/>
        <v>1.7725000000000001E-2</v>
      </c>
      <c r="R11" s="7"/>
      <c r="S11" s="13"/>
      <c r="T11" s="13"/>
      <c r="U11" s="13"/>
      <c r="V11" s="13"/>
      <c r="W11" s="13"/>
      <c r="X11" s="13"/>
      <c r="Y11" s="7"/>
      <c r="Z11" s="15"/>
      <c r="AA11" s="15"/>
      <c r="AB11" s="15"/>
      <c r="AC11" s="15"/>
      <c r="AD11" s="15"/>
      <c r="AE11" s="15">
        <f>AVERAGE(28,34)</f>
        <v>31</v>
      </c>
    </row>
    <row r="12" spans="1:31" x14ac:dyDescent="0.2">
      <c r="A12" s="1" t="s">
        <v>10</v>
      </c>
      <c r="B12" s="1" t="s">
        <v>22</v>
      </c>
      <c r="C12" s="42">
        <v>3</v>
      </c>
      <c r="D12" s="2" t="s">
        <v>34</v>
      </c>
      <c r="E12" s="7"/>
      <c r="F12" s="132">
        <v>4</v>
      </c>
      <c r="G12" s="132">
        <v>4.4000000000000004</v>
      </c>
      <c r="H12" s="42">
        <v>80</v>
      </c>
      <c r="I12" s="42">
        <v>120</v>
      </c>
      <c r="J12" s="8">
        <f t="shared" si="0"/>
        <v>4.9000000000000004</v>
      </c>
      <c r="K12" s="7"/>
      <c r="L12" s="83">
        <f t="shared" si="1"/>
        <v>2.3819444444444445E-2</v>
      </c>
      <c r="M12" s="83">
        <f t="shared" si="1"/>
        <v>2.4670138888888891E-2</v>
      </c>
      <c r="N12" s="83">
        <f t="shared" si="1"/>
        <v>2.5520833333333333E-2</v>
      </c>
      <c r="O12" s="83">
        <f t="shared" si="1"/>
        <v>2.5520833333333333E-2</v>
      </c>
      <c r="P12" s="83">
        <f t="shared" si="1"/>
        <v>2.5520833333333333E-2</v>
      </c>
      <c r="Q12" s="83">
        <f t="shared" si="1"/>
        <v>2.7222222222222224E-2</v>
      </c>
      <c r="R12" s="7"/>
      <c r="S12" s="13"/>
      <c r="T12" s="13"/>
      <c r="U12" s="13"/>
      <c r="V12" s="13"/>
      <c r="W12" s="13"/>
      <c r="X12" s="13"/>
      <c r="Y12" s="7"/>
      <c r="Z12" s="15">
        <v>58</v>
      </c>
      <c r="AA12" s="15"/>
      <c r="AB12" s="15"/>
      <c r="AC12" s="15"/>
      <c r="AD12" s="15"/>
      <c r="AE12" s="15">
        <v>46</v>
      </c>
    </row>
    <row r="13" spans="1:31" x14ac:dyDescent="0.2">
      <c r="A13" s="1" t="s">
        <v>11</v>
      </c>
      <c r="B13" s="1" t="s">
        <v>23</v>
      </c>
      <c r="C13" s="42">
        <v>3</v>
      </c>
      <c r="D13" s="2" t="s">
        <v>35</v>
      </c>
      <c r="E13" s="7"/>
      <c r="F13" s="132">
        <v>5.7</v>
      </c>
      <c r="G13" s="132">
        <v>6.2</v>
      </c>
      <c r="H13" s="42">
        <v>100</v>
      </c>
      <c r="I13" s="42">
        <v>140</v>
      </c>
      <c r="J13" s="8">
        <f t="shared" si="0"/>
        <v>6.79</v>
      </c>
      <c r="K13" s="7"/>
      <c r="L13" s="83">
        <f t="shared" si="1"/>
        <v>3.3006944444444443E-2</v>
      </c>
      <c r="M13" s="83">
        <f t="shared" si="1"/>
        <v>3.4185763888888894E-2</v>
      </c>
      <c r="N13" s="83">
        <f t="shared" si="1"/>
        <v>3.5364583333333331E-2</v>
      </c>
      <c r="O13" s="83">
        <f t="shared" si="1"/>
        <v>3.5364583333333331E-2</v>
      </c>
      <c r="P13" s="83">
        <f t="shared" si="1"/>
        <v>3.5364583333333331E-2</v>
      </c>
      <c r="Q13" s="83">
        <f t="shared" si="1"/>
        <v>3.7722222222222226E-2</v>
      </c>
      <c r="R13" s="7"/>
      <c r="S13" s="13"/>
      <c r="T13" s="13"/>
      <c r="U13" s="13"/>
      <c r="V13" s="13"/>
      <c r="W13" s="13"/>
      <c r="X13" s="13"/>
      <c r="Y13" s="7"/>
      <c r="Z13" s="15">
        <v>51</v>
      </c>
      <c r="AA13" s="15">
        <v>60</v>
      </c>
      <c r="AB13" s="15"/>
      <c r="AC13" s="15"/>
      <c r="AD13" s="15">
        <v>65</v>
      </c>
      <c r="AE13" s="15"/>
    </row>
    <row r="14" spans="1:31" x14ac:dyDescent="0.2">
      <c r="A14" s="1" t="s">
        <v>12</v>
      </c>
      <c r="B14" s="1" t="s">
        <v>24</v>
      </c>
      <c r="C14" s="42">
        <v>3</v>
      </c>
      <c r="D14" s="2" t="s">
        <v>34</v>
      </c>
      <c r="E14" s="7"/>
      <c r="F14" s="132">
        <v>7.4</v>
      </c>
      <c r="G14" s="132">
        <v>7.6</v>
      </c>
      <c r="H14" s="42">
        <v>160</v>
      </c>
      <c r="I14" s="42">
        <v>200</v>
      </c>
      <c r="J14" s="8">
        <f t="shared" si="0"/>
        <v>8.76</v>
      </c>
      <c r="K14" s="7"/>
      <c r="L14" s="83">
        <f t="shared" si="1"/>
        <v>4.684166666666667E-2</v>
      </c>
      <c r="M14" s="83">
        <f t="shared" si="1"/>
        <v>4.851458333333334E-2</v>
      </c>
      <c r="N14" s="83">
        <f t="shared" si="1"/>
        <v>5.0187500000000003E-2</v>
      </c>
      <c r="O14" s="83">
        <f t="shared" si="1"/>
        <v>5.0187500000000003E-2</v>
      </c>
      <c r="P14" s="83">
        <f t="shared" si="1"/>
        <v>5.0187500000000003E-2</v>
      </c>
      <c r="Q14" s="83">
        <f t="shared" si="1"/>
        <v>5.3533333333333336E-2</v>
      </c>
      <c r="R14" s="7"/>
      <c r="S14" s="13"/>
      <c r="T14" s="13"/>
      <c r="U14" s="13"/>
      <c r="V14" s="13"/>
      <c r="W14" s="13"/>
      <c r="X14" s="13"/>
      <c r="Y14" s="7"/>
      <c r="Z14" s="15">
        <v>48</v>
      </c>
      <c r="AA14" s="15">
        <v>64</v>
      </c>
      <c r="AB14" s="15"/>
      <c r="AC14" s="15"/>
      <c r="AD14" s="15">
        <v>54</v>
      </c>
      <c r="AE14" s="15"/>
    </row>
    <row r="15" spans="1:31" x14ac:dyDescent="0.2">
      <c r="A15" s="1" t="s">
        <v>13</v>
      </c>
      <c r="B15" s="1" t="s">
        <v>25</v>
      </c>
      <c r="C15" s="42">
        <v>6</v>
      </c>
      <c r="D15" s="2" t="s">
        <v>34</v>
      </c>
      <c r="E15" s="7"/>
      <c r="F15" s="132">
        <v>4.5</v>
      </c>
      <c r="G15" s="132">
        <v>4.8</v>
      </c>
      <c r="H15" s="42">
        <v>100</v>
      </c>
      <c r="I15" s="42">
        <v>150</v>
      </c>
      <c r="J15" s="8">
        <f t="shared" si="0"/>
        <v>5.5250000000000004</v>
      </c>
      <c r="K15" s="7"/>
      <c r="L15" s="83">
        <f t="shared" si="1"/>
        <v>2.6857638888888893E-2</v>
      </c>
      <c r="M15" s="83">
        <f t="shared" si="1"/>
        <v>2.7816840277777782E-2</v>
      </c>
      <c r="N15" s="83">
        <f t="shared" si="1"/>
        <v>2.8776041666666669E-2</v>
      </c>
      <c r="O15" s="83">
        <f t="shared" si="1"/>
        <v>2.8776041666666669E-2</v>
      </c>
      <c r="P15" s="83">
        <f t="shared" si="1"/>
        <v>2.8776041666666669E-2</v>
      </c>
      <c r="Q15" s="83">
        <f t="shared" si="1"/>
        <v>3.0694444444444448E-2</v>
      </c>
      <c r="R15" s="7"/>
      <c r="S15" s="13"/>
      <c r="T15" s="13"/>
      <c r="U15" s="13"/>
      <c r="V15" s="13"/>
      <c r="W15" s="13"/>
      <c r="X15" s="13"/>
      <c r="Y15" s="7"/>
      <c r="Z15" s="15"/>
      <c r="AA15" s="15"/>
      <c r="AB15" s="15"/>
      <c r="AC15" s="15"/>
      <c r="AD15" s="15"/>
      <c r="AE15" s="15"/>
    </row>
    <row r="16" spans="1:31" x14ac:dyDescent="0.2">
      <c r="J16" s="8">
        <f>SUMPRODUCT(J4:J15,C4:C15)</f>
        <v>230.715</v>
      </c>
    </row>
  </sheetData>
  <mergeCells count="3">
    <mergeCell ref="Z2:AE2"/>
    <mergeCell ref="S2:X2"/>
    <mergeCell ref="L2:Q2"/>
  </mergeCells>
  <phoneticPr fontId="1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C19" sqref="C19"/>
    </sheetView>
  </sheetViews>
  <sheetFormatPr baseColWidth="10" defaultColWidth="9.140625" defaultRowHeight="12.75" x14ac:dyDescent="0.2"/>
  <cols>
    <col min="1" max="1" width="12.140625" bestFit="1" customWidth="1"/>
    <col min="2" max="2" width="7.42578125" style="94" bestFit="1" customWidth="1"/>
    <col min="3" max="3" width="8.42578125" style="88" bestFit="1" customWidth="1"/>
    <col min="4" max="4" width="8" style="94" bestFit="1" customWidth="1"/>
    <col min="5" max="5" width="14.85546875" style="95" bestFit="1" customWidth="1"/>
    <col min="6" max="6" width="9.5703125" style="94" bestFit="1" customWidth="1"/>
  </cols>
  <sheetData>
    <row r="1" spans="1:6" ht="15.75" x14ac:dyDescent="0.25">
      <c r="A1" s="89"/>
      <c r="B1" s="90" t="s">
        <v>102</v>
      </c>
      <c r="C1" s="184" t="s">
        <v>103</v>
      </c>
      <c r="D1" s="184"/>
      <c r="E1" s="184"/>
      <c r="F1" s="184"/>
    </row>
    <row r="2" spans="1:6" x14ac:dyDescent="0.2">
      <c r="A2" s="85" t="s">
        <v>99</v>
      </c>
      <c r="B2" s="91" t="s">
        <v>104</v>
      </c>
      <c r="C2" s="86" t="s">
        <v>100</v>
      </c>
      <c r="D2" s="91" t="s">
        <v>113</v>
      </c>
      <c r="E2" s="92" t="s">
        <v>112</v>
      </c>
      <c r="F2" s="91" t="s">
        <v>114</v>
      </c>
    </row>
    <row r="3" spans="1:6" x14ac:dyDescent="0.2">
      <c r="A3" s="5" t="str">
        <f>CoursesBasis!$B$4&amp;CoursesBasis!L$3</f>
        <v>SFEL</v>
      </c>
      <c r="B3" s="93">
        <f>CoursesBasis!L4</f>
        <v>3.0333333333333334E-2</v>
      </c>
      <c r="C3" s="87">
        <f t="shared" ref="C3:C34" si="0">IF(ISNA(F3),0,IF(F3&gt;0,COUNTIF(BahnLaufzeiten,A3),0))</f>
        <v>1</v>
      </c>
      <c r="D3" s="93">
        <f t="shared" ref="D3:D34" ca="1" si="1">IF(C3&gt;0,SUMIF(BahnLaufzeiten,A3,IstLaufzeiten),"")</f>
        <v>2.8692129629629633E-2</v>
      </c>
      <c r="E3" s="93">
        <f t="shared" ref="E3:E37" ca="1" si="2">IF(C3&gt;0,D3/C3,"")</f>
        <v>2.8692129629629633E-2</v>
      </c>
      <c r="F3" s="93">
        <f t="shared" ref="F3:F34" si="3">VLOOKUP(A3,BahnLaufzeiten,13,FALSE)</f>
        <v>2.8692129629629633E-2</v>
      </c>
    </row>
    <row r="4" spans="1:6" x14ac:dyDescent="0.2">
      <c r="A4" s="5" t="str">
        <f>CoursesBasis!$B$5&amp;CoursesBasis!L$3</f>
        <v>SEEL</v>
      </c>
      <c r="B4" s="93">
        <f>CoursesBasis!L5</f>
        <v>2.0103124999999999E-2</v>
      </c>
      <c r="C4" s="87">
        <f t="shared" si="0"/>
        <v>0</v>
      </c>
      <c r="D4" s="93" t="str">
        <f t="shared" si="1"/>
        <v/>
      </c>
      <c r="E4" s="93" t="str">
        <f t="shared" si="2"/>
        <v/>
      </c>
      <c r="F4" s="93" t="e">
        <f t="shared" si="3"/>
        <v>#N/A</v>
      </c>
    </row>
    <row r="5" spans="1:6" x14ac:dyDescent="0.2">
      <c r="A5" s="5" t="str">
        <f>CoursesBasis!$B$6&amp;CoursesBasis!L$3</f>
        <v>SDEL</v>
      </c>
      <c r="B5" s="93">
        <f>CoursesBasis!L6</f>
        <v>2.8218750000000001E-2</v>
      </c>
      <c r="C5" s="87">
        <f t="shared" si="0"/>
        <v>1</v>
      </c>
      <c r="D5" s="93">
        <f t="shared" ca="1" si="1"/>
        <v>3.050925925925926E-2</v>
      </c>
      <c r="E5" s="93">
        <f t="shared" ca="1" si="2"/>
        <v>3.050925925925926E-2</v>
      </c>
      <c r="F5" s="93">
        <f t="shared" si="3"/>
        <v>3.050925925925926E-2</v>
      </c>
    </row>
    <row r="6" spans="1:6" x14ac:dyDescent="0.2">
      <c r="A6" s="5" t="str">
        <f>CoursesBasis!$B$7&amp;CoursesBasis!L$3</f>
        <v>LEEL</v>
      </c>
      <c r="B6" s="93">
        <f>CoursesBasis!L7</f>
        <v>3.7065972222222222E-2</v>
      </c>
      <c r="C6" s="87">
        <f t="shared" si="0"/>
        <v>0</v>
      </c>
      <c r="D6" s="93" t="str">
        <f t="shared" si="1"/>
        <v/>
      </c>
      <c r="E6" s="93" t="str">
        <f t="shared" si="2"/>
        <v/>
      </c>
      <c r="F6" s="93">
        <f t="shared" si="3"/>
        <v>0</v>
      </c>
    </row>
    <row r="7" spans="1:6" x14ac:dyDescent="0.2">
      <c r="A7" s="5" t="str">
        <f>CoursesBasis!$B$8&amp;CoursesBasis!L$3</f>
        <v>LDEL</v>
      </c>
      <c r="B7" s="93">
        <f>CoursesBasis!L8</f>
        <v>5.0888541666666669E-2</v>
      </c>
      <c r="C7" s="87">
        <f t="shared" si="0"/>
        <v>1</v>
      </c>
      <c r="D7" s="93">
        <f t="shared" ca="1" si="1"/>
        <v>4.9074074074074076E-2</v>
      </c>
      <c r="E7" s="93">
        <f t="shared" ca="1" si="2"/>
        <v>4.9074074074074076E-2</v>
      </c>
      <c r="F7" s="93">
        <f t="shared" si="3"/>
        <v>4.9074074074074076E-2</v>
      </c>
    </row>
    <row r="8" spans="1:6" x14ac:dyDescent="0.2">
      <c r="A8" s="5" t="str">
        <f>CoursesBasis!$B$9&amp;CoursesBasis!L$3</f>
        <v>STEL</v>
      </c>
      <c r="B8" s="93">
        <f>CoursesBasis!L9</f>
        <v>1.8637500000000001E-2</v>
      </c>
      <c r="C8" s="87">
        <f t="shared" si="0"/>
        <v>0</v>
      </c>
      <c r="D8" s="93" t="str">
        <f t="shared" si="1"/>
        <v/>
      </c>
      <c r="E8" s="93" t="str">
        <f t="shared" si="2"/>
        <v/>
      </c>
      <c r="F8" s="93" t="e">
        <f t="shared" si="3"/>
        <v>#N/A</v>
      </c>
    </row>
    <row r="9" spans="1:6" x14ac:dyDescent="0.2">
      <c r="A9" s="5" t="str">
        <f>CoursesBasis!$B$10&amp;CoursesBasis!L$3</f>
        <v>LTEL</v>
      </c>
      <c r="B9" s="93">
        <f>CoursesBasis!L10</f>
        <v>2.9069444444444446E-2</v>
      </c>
      <c r="C9" s="87">
        <f t="shared" si="0"/>
        <v>0</v>
      </c>
      <c r="D9" s="93" t="str">
        <f t="shared" si="1"/>
        <v/>
      </c>
      <c r="E9" s="93" t="str">
        <f t="shared" si="2"/>
        <v/>
      </c>
      <c r="F9" s="93" t="e">
        <f t="shared" si="3"/>
        <v>#N/A</v>
      </c>
    </row>
    <row r="10" spans="1:6" x14ac:dyDescent="0.2">
      <c r="A10" s="5" t="str">
        <f>CoursesBasis!$B$11&amp;CoursesBasis!L$3</f>
        <v>SENEL</v>
      </c>
      <c r="B10" s="93">
        <f>CoursesBasis!L11</f>
        <v>1.5509375000000001E-2</v>
      </c>
      <c r="C10" s="87">
        <f t="shared" si="0"/>
        <v>0</v>
      </c>
      <c r="D10" s="93" t="str">
        <f t="shared" si="1"/>
        <v/>
      </c>
      <c r="E10" s="93" t="str">
        <f t="shared" si="2"/>
        <v/>
      </c>
      <c r="F10" s="93" t="e">
        <f t="shared" si="3"/>
        <v>#N/A</v>
      </c>
    </row>
    <row r="11" spans="1:6" x14ac:dyDescent="0.2">
      <c r="A11" s="5" t="str">
        <f>CoursesBasis!$B$12&amp;CoursesBasis!L$3</f>
        <v>SDNEL</v>
      </c>
      <c r="B11" s="93">
        <f>CoursesBasis!L12</f>
        <v>2.3819444444444445E-2</v>
      </c>
      <c r="C11" s="87">
        <f t="shared" si="0"/>
        <v>1</v>
      </c>
      <c r="D11" s="93">
        <f t="shared" ca="1" si="1"/>
        <v>3.5949074074074071E-2</v>
      </c>
      <c r="E11" s="93">
        <f t="shared" ca="1" si="2"/>
        <v>3.5949074074074071E-2</v>
      </c>
      <c r="F11" s="93">
        <f t="shared" si="3"/>
        <v>3.5949074074074071E-2</v>
      </c>
    </row>
    <row r="12" spans="1:6" x14ac:dyDescent="0.2">
      <c r="A12" s="5" t="str">
        <f>CoursesBasis!$B$13&amp;CoursesBasis!L$3</f>
        <v>LENEL</v>
      </c>
      <c r="B12" s="93">
        <f>CoursesBasis!L13</f>
        <v>3.3006944444444443E-2</v>
      </c>
      <c r="C12" s="87">
        <f t="shared" si="0"/>
        <v>1</v>
      </c>
      <c r="D12" s="93">
        <f t="shared" ca="1" si="1"/>
        <v>4.2534722222222217E-2</v>
      </c>
      <c r="E12" s="93">
        <f t="shared" ca="1" si="2"/>
        <v>4.2534722222222217E-2</v>
      </c>
      <c r="F12" s="93">
        <f t="shared" si="3"/>
        <v>4.2534722222222217E-2</v>
      </c>
    </row>
    <row r="13" spans="1:6" x14ac:dyDescent="0.2">
      <c r="A13" s="5" t="str">
        <f>CoursesBasis!$B$14&amp;CoursesBasis!L$3</f>
        <v>LDNEL</v>
      </c>
      <c r="B13" s="93">
        <f>CoursesBasis!L14</f>
        <v>4.684166666666667E-2</v>
      </c>
      <c r="C13" s="87">
        <f t="shared" si="0"/>
        <v>0</v>
      </c>
      <c r="D13" s="93" t="str">
        <f t="shared" si="1"/>
        <v/>
      </c>
      <c r="E13" s="93" t="str">
        <f t="shared" si="2"/>
        <v/>
      </c>
      <c r="F13" s="93" t="e">
        <f t="shared" si="3"/>
        <v>#N/A</v>
      </c>
    </row>
    <row r="14" spans="1:6" x14ac:dyDescent="0.2">
      <c r="A14" s="5" t="str">
        <f>CoursesBasis!$B$15&amp;CoursesBasis!L$3</f>
        <v>FFEL</v>
      </c>
      <c r="B14" s="93">
        <f>CoursesBasis!L15</f>
        <v>2.6857638888888893E-2</v>
      </c>
      <c r="C14" s="87">
        <f t="shared" si="0"/>
        <v>0</v>
      </c>
      <c r="D14" s="93" t="str">
        <f t="shared" si="1"/>
        <v/>
      </c>
      <c r="E14" s="93" t="str">
        <f t="shared" si="2"/>
        <v/>
      </c>
      <c r="F14" s="93">
        <f t="shared" si="3"/>
        <v>0</v>
      </c>
    </row>
    <row r="15" spans="1:6" x14ac:dyDescent="0.2">
      <c r="A15" s="5" t="str">
        <f>CoursesBasis!$B$4&amp;CoursesBasis!M$3</f>
        <v>SFST</v>
      </c>
      <c r="B15" s="93">
        <f>CoursesBasis!M4</f>
        <v>3.1416666666666669E-2</v>
      </c>
      <c r="C15" s="87">
        <f t="shared" si="0"/>
        <v>0</v>
      </c>
      <c r="D15" s="93" t="str">
        <f t="shared" si="1"/>
        <v/>
      </c>
      <c r="E15" s="93" t="str">
        <f t="shared" si="2"/>
        <v/>
      </c>
      <c r="F15" s="93" t="e">
        <f t="shared" si="3"/>
        <v>#N/A</v>
      </c>
    </row>
    <row r="16" spans="1:6" x14ac:dyDescent="0.2">
      <c r="A16" s="5" t="str">
        <f>CoursesBasis!$B$5&amp;CoursesBasis!M$3</f>
        <v>SEST</v>
      </c>
      <c r="B16" s="93">
        <f>CoursesBasis!M5</f>
        <v>2.0821093750000002E-2</v>
      </c>
      <c r="C16" s="87">
        <f t="shared" si="0"/>
        <v>0</v>
      </c>
      <c r="D16" s="93" t="str">
        <f t="shared" si="1"/>
        <v/>
      </c>
      <c r="E16" s="93" t="str">
        <f t="shared" si="2"/>
        <v/>
      </c>
      <c r="F16" s="93" t="e">
        <f t="shared" si="3"/>
        <v>#N/A</v>
      </c>
    </row>
    <row r="17" spans="1:6" x14ac:dyDescent="0.2">
      <c r="A17" s="5" t="str">
        <f>CoursesBasis!$B$6&amp;CoursesBasis!M$3</f>
        <v>SDST</v>
      </c>
      <c r="B17" s="93">
        <f>CoursesBasis!M6</f>
        <v>2.9226562500000001E-2</v>
      </c>
      <c r="C17" s="87">
        <f t="shared" si="0"/>
        <v>1</v>
      </c>
      <c r="D17" s="93">
        <f t="shared" ca="1" si="1"/>
        <v>3.1469907407407412E-2</v>
      </c>
      <c r="E17" s="93">
        <f t="shared" ca="1" si="2"/>
        <v>3.1469907407407412E-2</v>
      </c>
      <c r="F17" s="93">
        <f t="shared" si="3"/>
        <v>3.1469907407407412E-2</v>
      </c>
    </row>
    <row r="18" spans="1:6" x14ac:dyDescent="0.2">
      <c r="A18" s="5" t="str">
        <f>CoursesBasis!$B$7&amp;CoursesBasis!M$3</f>
        <v>LEST</v>
      </c>
      <c r="B18" s="93">
        <f>CoursesBasis!M7</f>
        <v>3.838975694444445E-2</v>
      </c>
      <c r="C18" s="87">
        <f t="shared" si="0"/>
        <v>1</v>
      </c>
      <c r="D18" s="93">
        <f t="shared" ca="1" si="1"/>
        <v>4.2337962962962966E-2</v>
      </c>
      <c r="E18" s="93">
        <f t="shared" ca="1" si="2"/>
        <v>4.2337962962962966E-2</v>
      </c>
      <c r="F18" s="93">
        <f t="shared" si="3"/>
        <v>4.2337962962962966E-2</v>
      </c>
    </row>
    <row r="19" spans="1:6" x14ac:dyDescent="0.2">
      <c r="A19" s="5" t="str">
        <f>CoursesBasis!$B$8&amp;CoursesBasis!M$3</f>
        <v>LDST</v>
      </c>
      <c r="B19" s="93">
        <f>CoursesBasis!M8</f>
        <v>5.2705989583333342E-2</v>
      </c>
      <c r="C19" s="87">
        <f t="shared" si="0"/>
        <v>2</v>
      </c>
      <c r="D19" s="93">
        <f t="shared" ca="1" si="1"/>
        <v>4.7916666666666663E-2</v>
      </c>
      <c r="E19" s="93">
        <f t="shared" ca="1" si="2"/>
        <v>2.3958333333333331E-2</v>
      </c>
      <c r="F19" s="93">
        <f t="shared" si="3"/>
        <v>4.7916666666666663E-2</v>
      </c>
    </row>
    <row r="20" spans="1:6" x14ac:dyDescent="0.2">
      <c r="A20" s="5" t="str">
        <f>CoursesBasis!$B$9&amp;CoursesBasis!M$3</f>
        <v>STST</v>
      </c>
      <c r="B20" s="93">
        <f>CoursesBasis!M9</f>
        <v>1.9303125000000001E-2</v>
      </c>
      <c r="C20" s="87">
        <f t="shared" si="0"/>
        <v>0</v>
      </c>
      <c r="D20" s="93" t="str">
        <f t="shared" si="1"/>
        <v/>
      </c>
      <c r="E20" s="93" t="str">
        <f t="shared" si="2"/>
        <v/>
      </c>
      <c r="F20" s="93" t="e">
        <f t="shared" si="3"/>
        <v>#N/A</v>
      </c>
    </row>
    <row r="21" spans="1:6" x14ac:dyDescent="0.2">
      <c r="A21" s="5" t="str">
        <f>CoursesBasis!$B$10&amp;CoursesBasis!M$3</f>
        <v>LTST</v>
      </c>
      <c r="B21" s="93">
        <f>CoursesBasis!M10</f>
        <v>3.0107638888888892E-2</v>
      </c>
      <c r="C21" s="87">
        <f t="shared" si="0"/>
        <v>0</v>
      </c>
      <c r="D21" s="93" t="str">
        <f t="shared" si="1"/>
        <v/>
      </c>
      <c r="E21" s="93" t="str">
        <f t="shared" si="2"/>
        <v/>
      </c>
      <c r="F21" s="93" t="e">
        <f t="shared" si="3"/>
        <v>#N/A</v>
      </c>
    </row>
    <row r="22" spans="1:6" x14ac:dyDescent="0.2">
      <c r="A22" s="5" t="str">
        <f>CoursesBasis!$B$11&amp;CoursesBasis!M$3</f>
        <v>SENST</v>
      </c>
      <c r="B22" s="93">
        <f>CoursesBasis!M11</f>
        <v>1.6063281250000002E-2</v>
      </c>
      <c r="C22" s="87">
        <f t="shared" si="0"/>
        <v>1</v>
      </c>
      <c r="D22" s="93">
        <f t="shared" ca="1" si="1"/>
        <v>2.2314814814814815E-2</v>
      </c>
      <c r="E22" s="93">
        <f t="shared" ca="1" si="2"/>
        <v>2.2314814814814815E-2</v>
      </c>
      <c r="F22" s="93">
        <f t="shared" si="3"/>
        <v>2.2314814814814815E-2</v>
      </c>
    </row>
    <row r="23" spans="1:6" x14ac:dyDescent="0.2">
      <c r="A23" s="5" t="str">
        <f>CoursesBasis!$B$12&amp;CoursesBasis!M$3</f>
        <v>SDNST</v>
      </c>
      <c r="B23" s="93">
        <f>CoursesBasis!M12</f>
        <v>2.4670138888888891E-2</v>
      </c>
      <c r="C23" s="87">
        <f t="shared" si="0"/>
        <v>0</v>
      </c>
      <c r="D23" s="93" t="str">
        <f t="shared" si="1"/>
        <v/>
      </c>
      <c r="E23" s="93" t="str">
        <f t="shared" si="2"/>
        <v/>
      </c>
      <c r="F23" s="93" t="e">
        <f t="shared" si="3"/>
        <v>#N/A</v>
      </c>
    </row>
    <row r="24" spans="1:6" x14ac:dyDescent="0.2">
      <c r="A24" s="5" t="str">
        <f>CoursesBasis!$B$13&amp;CoursesBasis!M$3</f>
        <v>LENST</v>
      </c>
      <c r="B24" s="93">
        <f>CoursesBasis!M13</f>
        <v>3.4185763888888894E-2</v>
      </c>
      <c r="C24" s="87">
        <f t="shared" si="0"/>
        <v>1</v>
      </c>
      <c r="D24" s="93">
        <f t="shared" ca="1" si="1"/>
        <v>4.2083333333333334E-2</v>
      </c>
      <c r="E24" s="93">
        <f t="shared" ca="1" si="2"/>
        <v>4.2083333333333334E-2</v>
      </c>
      <c r="F24" s="93">
        <f t="shared" si="3"/>
        <v>4.2083333333333334E-2</v>
      </c>
    </row>
    <row r="25" spans="1:6" x14ac:dyDescent="0.2">
      <c r="A25" s="5" t="str">
        <f>CoursesBasis!$B$14&amp;CoursesBasis!M$3</f>
        <v>LDNST</v>
      </c>
      <c r="B25" s="93">
        <f>CoursesBasis!M14</f>
        <v>4.851458333333334E-2</v>
      </c>
      <c r="C25" s="87">
        <f t="shared" si="0"/>
        <v>0</v>
      </c>
      <c r="D25" s="93" t="str">
        <f t="shared" si="1"/>
        <v/>
      </c>
      <c r="E25" s="93" t="str">
        <f t="shared" si="2"/>
        <v/>
      </c>
      <c r="F25" s="93" t="e">
        <f t="shared" si="3"/>
        <v>#N/A</v>
      </c>
    </row>
    <row r="26" spans="1:6" x14ac:dyDescent="0.2">
      <c r="A26" s="5" t="str">
        <f>CoursesBasis!$B$15&amp;CoursesBasis!M$3</f>
        <v>FFST</v>
      </c>
      <c r="B26" s="93">
        <f>CoursesBasis!M15</f>
        <v>2.7816840277777782E-2</v>
      </c>
      <c r="C26" s="87">
        <f t="shared" si="0"/>
        <v>0</v>
      </c>
      <c r="D26" s="93" t="str">
        <f t="shared" si="1"/>
        <v/>
      </c>
      <c r="E26" s="93" t="str">
        <f t="shared" si="2"/>
        <v/>
      </c>
      <c r="F26" s="93">
        <f t="shared" si="3"/>
        <v>0</v>
      </c>
    </row>
    <row r="27" spans="1:6" x14ac:dyDescent="0.2">
      <c r="A27" s="5" t="str">
        <f>CoursesBasis!$B$4&amp;CoursesBasis!N$3</f>
        <v>SFLBK</v>
      </c>
      <c r="B27" s="93">
        <f>CoursesBasis!N4</f>
        <v>3.2500000000000001E-2</v>
      </c>
      <c r="C27" s="87">
        <f t="shared" si="0"/>
        <v>0</v>
      </c>
      <c r="D27" s="93" t="str">
        <f t="shared" si="1"/>
        <v/>
      </c>
      <c r="E27" s="93" t="str">
        <f t="shared" si="2"/>
        <v/>
      </c>
      <c r="F27" s="93" t="e">
        <f t="shared" si="3"/>
        <v>#N/A</v>
      </c>
    </row>
    <row r="28" spans="1:6" x14ac:dyDescent="0.2">
      <c r="A28" s="5" t="str">
        <f>CoursesBasis!$B$5&amp;CoursesBasis!N$3</f>
        <v>SELBK</v>
      </c>
      <c r="B28" s="93">
        <f>CoursesBasis!N5</f>
        <v>2.1539062499999997E-2</v>
      </c>
      <c r="C28" s="87">
        <f t="shared" si="0"/>
        <v>1</v>
      </c>
      <c r="D28" s="93">
        <f t="shared" ca="1" si="1"/>
        <v>2.3541666666666666E-2</v>
      </c>
      <c r="E28" s="93">
        <f t="shared" ca="1" si="2"/>
        <v>2.3541666666666666E-2</v>
      </c>
      <c r="F28" s="93">
        <f t="shared" si="3"/>
        <v>2.3541666666666666E-2</v>
      </c>
    </row>
    <row r="29" spans="1:6" x14ac:dyDescent="0.2">
      <c r="A29" s="5" t="str">
        <f>CoursesBasis!$B$6&amp;CoursesBasis!N$3</f>
        <v>SDLBK</v>
      </c>
      <c r="B29" s="93">
        <f>CoursesBasis!N6</f>
        <v>3.0234374999999997E-2</v>
      </c>
      <c r="C29" s="87">
        <f t="shared" si="0"/>
        <v>0</v>
      </c>
      <c r="D29" s="93" t="str">
        <f t="shared" si="1"/>
        <v/>
      </c>
      <c r="E29" s="93" t="str">
        <f t="shared" si="2"/>
        <v/>
      </c>
      <c r="F29" s="93" t="e">
        <f t="shared" si="3"/>
        <v>#N/A</v>
      </c>
    </row>
    <row r="30" spans="1:6" x14ac:dyDescent="0.2">
      <c r="A30" s="5" t="str">
        <f>CoursesBasis!$B$7&amp;CoursesBasis!N$3</f>
        <v>LELBK</v>
      </c>
      <c r="B30" s="93">
        <f>CoursesBasis!N7</f>
        <v>3.9713541666666664E-2</v>
      </c>
      <c r="C30" s="87">
        <f t="shared" si="0"/>
        <v>1</v>
      </c>
      <c r="D30" s="93">
        <f t="shared" ca="1" si="1"/>
        <v>4.1250000000000002E-2</v>
      </c>
      <c r="E30" s="93">
        <f t="shared" ca="1" si="2"/>
        <v>4.1250000000000002E-2</v>
      </c>
      <c r="F30" s="93">
        <f t="shared" si="3"/>
        <v>4.1250000000000002E-2</v>
      </c>
    </row>
    <row r="31" spans="1:6" x14ac:dyDescent="0.2">
      <c r="A31" s="5" t="str">
        <f>CoursesBasis!$B$8&amp;CoursesBasis!N$3</f>
        <v>LDLBK</v>
      </c>
      <c r="B31" s="93">
        <f>CoursesBasis!N8</f>
        <v>5.4523437500000001E-2</v>
      </c>
      <c r="C31" s="87">
        <f t="shared" si="0"/>
        <v>0</v>
      </c>
      <c r="D31" s="93" t="str">
        <f t="shared" si="1"/>
        <v/>
      </c>
      <c r="E31" s="93" t="str">
        <f t="shared" si="2"/>
        <v/>
      </c>
      <c r="F31" s="93" t="e">
        <f t="shared" si="3"/>
        <v>#N/A</v>
      </c>
    </row>
    <row r="32" spans="1:6" x14ac:dyDescent="0.2">
      <c r="A32" s="5" t="str">
        <f>CoursesBasis!$B$9&amp;CoursesBasis!N$3</f>
        <v>STLBK</v>
      </c>
      <c r="B32" s="93">
        <f>CoursesBasis!N9</f>
        <v>1.9968749999999997E-2</v>
      </c>
      <c r="C32" s="87">
        <f t="shared" si="0"/>
        <v>1</v>
      </c>
      <c r="D32" s="93">
        <f t="shared" ca="1" si="1"/>
        <v>2.2604166666666665E-2</v>
      </c>
      <c r="E32" s="93">
        <f t="shared" ca="1" si="2"/>
        <v>2.2604166666666665E-2</v>
      </c>
      <c r="F32" s="93">
        <f t="shared" si="3"/>
        <v>2.2604166666666665E-2</v>
      </c>
    </row>
    <row r="33" spans="1:6" x14ac:dyDescent="0.2">
      <c r="A33" s="5" t="str">
        <f>CoursesBasis!$B$10&amp;CoursesBasis!N$3</f>
        <v>LTLBK</v>
      </c>
      <c r="B33" s="93">
        <f>CoursesBasis!N10</f>
        <v>3.1145833333333334E-2</v>
      </c>
      <c r="C33" s="87">
        <f t="shared" si="0"/>
        <v>0</v>
      </c>
      <c r="D33" s="93" t="str">
        <f t="shared" si="1"/>
        <v/>
      </c>
      <c r="E33" s="93" t="str">
        <f t="shared" si="2"/>
        <v/>
      </c>
      <c r="F33" s="93" t="e">
        <f t="shared" si="3"/>
        <v>#N/A</v>
      </c>
    </row>
    <row r="34" spans="1:6" x14ac:dyDescent="0.2">
      <c r="A34" s="5" t="str">
        <f>CoursesBasis!$B$11&amp;CoursesBasis!N$3</f>
        <v>SENLBK</v>
      </c>
      <c r="B34" s="93">
        <f>CoursesBasis!N11</f>
        <v>1.6617187499999998E-2</v>
      </c>
      <c r="C34" s="87">
        <f t="shared" si="0"/>
        <v>1</v>
      </c>
      <c r="D34" s="93">
        <f t="shared" ca="1" si="1"/>
        <v>2.2187499999999999E-2</v>
      </c>
      <c r="E34" s="93">
        <f t="shared" ca="1" si="2"/>
        <v>2.2187499999999999E-2</v>
      </c>
      <c r="F34" s="93">
        <f t="shared" si="3"/>
        <v>2.2187499999999999E-2</v>
      </c>
    </row>
    <row r="35" spans="1:6" x14ac:dyDescent="0.2">
      <c r="A35" s="5" t="str">
        <f>CoursesBasis!$B$12&amp;CoursesBasis!N$3</f>
        <v>SDNLBK</v>
      </c>
      <c r="B35" s="93">
        <f>CoursesBasis!N12</f>
        <v>2.5520833333333333E-2</v>
      </c>
      <c r="C35" s="87">
        <f t="shared" ref="C35:C66" si="4">IF(ISNA(F35),0,IF(F35&gt;0,COUNTIF(BahnLaufzeiten,A35),0))</f>
        <v>1</v>
      </c>
      <c r="D35" s="93">
        <f t="shared" ref="D35:D66" ca="1" si="5">IF(C35&gt;0,SUMIF(BahnLaufzeiten,A35,IstLaufzeiten),"")</f>
        <v>2.7962962962962964E-2</v>
      </c>
      <c r="E35" s="93">
        <f t="shared" ca="1" si="2"/>
        <v>2.7962962962962964E-2</v>
      </c>
      <c r="F35" s="93">
        <f t="shared" ref="F35:F66" si="6">VLOOKUP(A35,BahnLaufzeiten,13,FALSE)</f>
        <v>2.7962962962962964E-2</v>
      </c>
    </row>
    <row r="36" spans="1:6" x14ac:dyDescent="0.2">
      <c r="A36" s="5" t="str">
        <f>CoursesBasis!$B$13&amp;CoursesBasis!N$3</f>
        <v>LENLBK</v>
      </c>
      <c r="B36" s="93">
        <f>CoursesBasis!N13</f>
        <v>3.5364583333333331E-2</v>
      </c>
      <c r="C36" s="87">
        <f t="shared" si="4"/>
        <v>0</v>
      </c>
      <c r="D36" s="93" t="str">
        <f t="shared" si="5"/>
        <v/>
      </c>
      <c r="E36" s="93" t="str">
        <f t="shared" si="2"/>
        <v/>
      </c>
      <c r="F36" s="93" t="e">
        <f t="shared" si="6"/>
        <v>#N/A</v>
      </c>
    </row>
    <row r="37" spans="1:6" x14ac:dyDescent="0.2">
      <c r="A37" s="5" t="str">
        <f>CoursesBasis!$B$14&amp;CoursesBasis!N$3</f>
        <v>LDNLBK</v>
      </c>
      <c r="B37" s="93">
        <f>CoursesBasis!N14</f>
        <v>5.0187500000000003E-2</v>
      </c>
      <c r="C37" s="87">
        <f t="shared" si="4"/>
        <v>0</v>
      </c>
      <c r="D37" s="93" t="str">
        <f t="shared" si="5"/>
        <v/>
      </c>
      <c r="E37" s="93" t="str">
        <f t="shared" si="2"/>
        <v/>
      </c>
      <c r="F37" s="93" t="e">
        <f t="shared" si="6"/>
        <v>#N/A</v>
      </c>
    </row>
    <row r="38" spans="1:6" x14ac:dyDescent="0.2">
      <c r="A38" s="5" t="str">
        <f>CoursesBasis!$B$15&amp;CoursesBasis!N$3</f>
        <v>FFLBK</v>
      </c>
      <c r="B38" s="93">
        <f>CoursesBasis!N15</f>
        <v>2.8776041666666669E-2</v>
      </c>
      <c r="C38" s="87">
        <f t="shared" si="4"/>
        <v>0</v>
      </c>
      <c r="D38" s="93" t="str">
        <f t="shared" si="5"/>
        <v/>
      </c>
      <c r="E38" s="93" t="str">
        <f t="shared" ref="E38:E74" si="7">IF(C38&gt;0,D38/C38,"")</f>
        <v/>
      </c>
      <c r="F38" s="93">
        <f t="shared" si="6"/>
        <v>0</v>
      </c>
    </row>
    <row r="39" spans="1:6" x14ac:dyDescent="0.2">
      <c r="A39" s="5" t="str">
        <f>CoursesBasis!$B$4&amp;CoursesBasis!O$3</f>
        <v>SFLG</v>
      </c>
      <c r="B39" s="93">
        <f>CoursesBasis!O4</f>
        <v>3.2500000000000001E-2</v>
      </c>
      <c r="C39" s="87">
        <f t="shared" si="4"/>
        <v>0</v>
      </c>
      <c r="D39" s="93" t="str">
        <f t="shared" si="5"/>
        <v/>
      </c>
      <c r="E39" s="93" t="str">
        <f t="shared" si="7"/>
        <v/>
      </c>
      <c r="F39" s="93" t="e">
        <f t="shared" si="6"/>
        <v>#N/A</v>
      </c>
    </row>
    <row r="40" spans="1:6" x14ac:dyDescent="0.2">
      <c r="A40" s="5" t="str">
        <f>CoursesBasis!$B$5&amp;CoursesBasis!O$3</f>
        <v>SELG</v>
      </c>
      <c r="B40" s="93">
        <f>CoursesBasis!O5</f>
        <v>2.1539062499999997E-2</v>
      </c>
      <c r="C40" s="87">
        <f t="shared" si="4"/>
        <v>1</v>
      </c>
      <c r="D40" s="93">
        <f t="shared" ca="1" si="5"/>
        <v>2.1747685185185186E-2</v>
      </c>
      <c r="E40" s="93">
        <f t="shared" ca="1" si="7"/>
        <v>2.1747685185185186E-2</v>
      </c>
      <c r="F40" s="93">
        <f t="shared" si="6"/>
        <v>2.1747685185185186E-2</v>
      </c>
    </row>
    <row r="41" spans="1:6" x14ac:dyDescent="0.2">
      <c r="A41" s="5" t="str">
        <f>CoursesBasis!$B$6&amp;CoursesBasis!O$3</f>
        <v>SDLG</v>
      </c>
      <c r="B41" s="93">
        <f>CoursesBasis!O6</f>
        <v>3.0234374999999997E-2</v>
      </c>
      <c r="C41" s="87">
        <f t="shared" si="4"/>
        <v>1</v>
      </c>
      <c r="D41" s="93">
        <f t="shared" ca="1" si="5"/>
        <v>3.2974537037037038E-2</v>
      </c>
      <c r="E41" s="93">
        <f t="shared" ca="1" si="7"/>
        <v>3.2974537037037038E-2</v>
      </c>
      <c r="F41" s="93">
        <f t="shared" si="6"/>
        <v>3.2974537037037038E-2</v>
      </c>
    </row>
    <row r="42" spans="1:6" x14ac:dyDescent="0.2">
      <c r="A42" s="5" t="str">
        <f>CoursesBasis!$B$7&amp;CoursesBasis!O$3</f>
        <v>LELG</v>
      </c>
      <c r="B42" s="93">
        <f>CoursesBasis!O7</f>
        <v>3.9713541666666664E-2</v>
      </c>
      <c r="C42" s="87">
        <f t="shared" si="4"/>
        <v>0</v>
      </c>
      <c r="D42" s="93" t="str">
        <f t="shared" si="5"/>
        <v/>
      </c>
      <c r="E42" s="93" t="str">
        <f t="shared" si="7"/>
        <v/>
      </c>
      <c r="F42" s="93" t="e">
        <f t="shared" si="6"/>
        <v>#N/A</v>
      </c>
    </row>
    <row r="43" spans="1:6" x14ac:dyDescent="0.2">
      <c r="A43" s="5" t="str">
        <f>CoursesBasis!$B$8&amp;CoursesBasis!O$3</f>
        <v>LDLG</v>
      </c>
      <c r="B43" s="93">
        <f>CoursesBasis!O8</f>
        <v>5.4523437500000001E-2</v>
      </c>
      <c r="C43" s="87">
        <f t="shared" si="4"/>
        <v>0</v>
      </c>
      <c r="D43" s="93" t="str">
        <f t="shared" si="5"/>
        <v/>
      </c>
      <c r="E43" s="93" t="str">
        <f t="shared" si="7"/>
        <v/>
      </c>
      <c r="F43" s="93" t="e">
        <f t="shared" si="6"/>
        <v>#N/A</v>
      </c>
    </row>
    <row r="44" spans="1:6" x14ac:dyDescent="0.2">
      <c r="A44" s="5" t="str">
        <f>CoursesBasis!$B$9&amp;CoursesBasis!O$3</f>
        <v>STLG</v>
      </c>
      <c r="B44" s="93">
        <f>CoursesBasis!O9</f>
        <v>1.9968749999999997E-2</v>
      </c>
      <c r="C44" s="87">
        <f t="shared" si="4"/>
        <v>0</v>
      </c>
      <c r="D44" s="93" t="str">
        <f t="shared" si="5"/>
        <v/>
      </c>
      <c r="E44" s="93" t="str">
        <f t="shared" si="7"/>
        <v/>
      </c>
      <c r="F44" s="93" t="e">
        <f t="shared" si="6"/>
        <v>#N/A</v>
      </c>
    </row>
    <row r="45" spans="1:6" x14ac:dyDescent="0.2">
      <c r="A45" s="5" t="str">
        <f>CoursesBasis!$B$10&amp;CoursesBasis!O$3</f>
        <v>LTLG</v>
      </c>
      <c r="B45" s="93">
        <f>CoursesBasis!O10</f>
        <v>3.1145833333333334E-2</v>
      </c>
      <c r="C45" s="87">
        <f t="shared" si="4"/>
        <v>1</v>
      </c>
      <c r="D45" s="93">
        <f t="shared" ca="1" si="5"/>
        <v>3.2546296296296295E-2</v>
      </c>
      <c r="E45" s="93">
        <f t="shared" ca="1" si="7"/>
        <v>3.2546296296296295E-2</v>
      </c>
      <c r="F45" s="93">
        <f t="shared" si="6"/>
        <v>3.2546296296296295E-2</v>
      </c>
    </row>
    <row r="46" spans="1:6" x14ac:dyDescent="0.2">
      <c r="A46" s="5" t="str">
        <f>CoursesBasis!$B$11&amp;CoursesBasis!O$3</f>
        <v>SENLG</v>
      </c>
      <c r="B46" s="93">
        <f>CoursesBasis!O11</f>
        <v>1.6617187499999998E-2</v>
      </c>
      <c r="C46" s="87">
        <f t="shared" si="4"/>
        <v>1</v>
      </c>
      <c r="D46" s="93">
        <f t="shared" ca="1" si="5"/>
        <v>1.8171296296296297E-2</v>
      </c>
      <c r="E46" s="93">
        <f t="shared" ca="1" si="7"/>
        <v>1.8171296296296297E-2</v>
      </c>
      <c r="F46" s="93">
        <f t="shared" si="6"/>
        <v>1.8171296296296297E-2</v>
      </c>
    </row>
    <row r="47" spans="1:6" x14ac:dyDescent="0.2">
      <c r="A47" s="5" t="str">
        <f>CoursesBasis!$B$12&amp;CoursesBasis!O$3</f>
        <v>SDNLG</v>
      </c>
      <c r="B47" s="93">
        <f>CoursesBasis!O12</f>
        <v>2.5520833333333333E-2</v>
      </c>
      <c r="C47" s="87">
        <f t="shared" si="4"/>
        <v>0</v>
      </c>
      <c r="D47" s="93" t="str">
        <f t="shared" si="5"/>
        <v/>
      </c>
      <c r="E47" s="93" t="str">
        <f t="shared" si="7"/>
        <v/>
      </c>
      <c r="F47" s="93" t="e">
        <f t="shared" si="6"/>
        <v>#N/A</v>
      </c>
    </row>
    <row r="48" spans="1:6" x14ac:dyDescent="0.2">
      <c r="A48" s="5" t="str">
        <f>CoursesBasis!$B$13&amp;CoursesBasis!O$3</f>
        <v>LENLG</v>
      </c>
      <c r="B48" s="93">
        <f>CoursesBasis!O13</f>
        <v>3.5364583333333331E-2</v>
      </c>
      <c r="C48" s="87">
        <f t="shared" si="4"/>
        <v>0</v>
      </c>
      <c r="D48" s="93" t="str">
        <f t="shared" si="5"/>
        <v/>
      </c>
      <c r="E48" s="93" t="str">
        <f t="shared" si="7"/>
        <v/>
      </c>
      <c r="F48" s="93" t="e">
        <f t="shared" si="6"/>
        <v>#N/A</v>
      </c>
    </row>
    <row r="49" spans="1:6" x14ac:dyDescent="0.2">
      <c r="A49" s="5" t="str">
        <f>CoursesBasis!$B$14&amp;CoursesBasis!O$3</f>
        <v>LDNLG</v>
      </c>
      <c r="B49" s="93">
        <f>CoursesBasis!O14</f>
        <v>5.0187500000000003E-2</v>
      </c>
      <c r="C49" s="87">
        <f t="shared" si="4"/>
        <v>1</v>
      </c>
      <c r="D49" s="93">
        <f t="shared" ca="1" si="5"/>
        <v>5.4085648148148147E-2</v>
      </c>
      <c r="E49" s="93">
        <f t="shared" ca="1" si="7"/>
        <v>5.4085648148148147E-2</v>
      </c>
      <c r="F49" s="93">
        <f t="shared" si="6"/>
        <v>5.4085648148148147E-2</v>
      </c>
    </row>
    <row r="50" spans="1:6" x14ac:dyDescent="0.2">
      <c r="A50" s="5" t="str">
        <f>CoursesBasis!$B$15&amp;CoursesBasis!O$3</f>
        <v>FFLG</v>
      </c>
      <c r="B50" s="93">
        <f>CoursesBasis!O15</f>
        <v>2.8776041666666669E-2</v>
      </c>
      <c r="C50" s="87">
        <f t="shared" si="4"/>
        <v>0</v>
      </c>
      <c r="D50" s="93" t="str">
        <f t="shared" si="5"/>
        <v/>
      </c>
      <c r="E50" s="93" t="str">
        <f t="shared" si="7"/>
        <v/>
      </c>
      <c r="F50" s="93">
        <f t="shared" si="6"/>
        <v>0</v>
      </c>
    </row>
    <row r="51" spans="1:6" x14ac:dyDescent="0.2">
      <c r="A51" s="5" t="str">
        <f>CoursesBasis!$B$4&amp;CoursesBasis!P$3</f>
        <v>SFBV</v>
      </c>
      <c r="B51" s="93">
        <f>CoursesBasis!P4</f>
        <v>3.2500000000000001E-2</v>
      </c>
      <c r="C51" s="87">
        <f t="shared" si="4"/>
        <v>0</v>
      </c>
      <c r="D51" s="93" t="str">
        <f t="shared" si="5"/>
        <v/>
      </c>
      <c r="E51" s="93" t="str">
        <f t="shared" si="7"/>
        <v/>
      </c>
      <c r="F51" s="93" t="e">
        <f t="shared" si="6"/>
        <v>#N/A</v>
      </c>
    </row>
    <row r="52" spans="1:6" x14ac:dyDescent="0.2">
      <c r="A52" s="5" t="str">
        <f>CoursesBasis!$B$5&amp;CoursesBasis!P$3</f>
        <v>SEBV</v>
      </c>
      <c r="B52" s="93">
        <f>CoursesBasis!P5</f>
        <v>2.1539062499999997E-2</v>
      </c>
      <c r="C52" s="87">
        <f t="shared" si="4"/>
        <v>0</v>
      </c>
      <c r="D52" s="93" t="str">
        <f t="shared" si="5"/>
        <v/>
      </c>
      <c r="E52" s="93" t="str">
        <f t="shared" si="7"/>
        <v/>
      </c>
      <c r="F52" s="93" t="e">
        <f t="shared" si="6"/>
        <v>#N/A</v>
      </c>
    </row>
    <row r="53" spans="1:6" x14ac:dyDescent="0.2">
      <c r="A53" s="5" t="str">
        <f>CoursesBasis!$B$6&amp;CoursesBasis!P$3</f>
        <v>SDBV</v>
      </c>
      <c r="B53" s="93">
        <f>CoursesBasis!P6</f>
        <v>3.0234374999999997E-2</v>
      </c>
      <c r="C53" s="87">
        <f t="shared" si="4"/>
        <v>1</v>
      </c>
      <c r="D53" s="93">
        <f t="shared" ca="1" si="5"/>
        <v>2.9305555555555557E-2</v>
      </c>
      <c r="E53" s="93">
        <f t="shared" ca="1" si="7"/>
        <v>2.9305555555555557E-2</v>
      </c>
      <c r="F53" s="93">
        <f t="shared" si="6"/>
        <v>2.9305555555555557E-2</v>
      </c>
    </row>
    <row r="54" spans="1:6" x14ac:dyDescent="0.2">
      <c r="A54" s="5" t="str">
        <f>CoursesBasis!$B$7&amp;CoursesBasis!P$3</f>
        <v>LEBV</v>
      </c>
      <c r="B54" s="93">
        <f>CoursesBasis!P7</f>
        <v>3.9713541666666664E-2</v>
      </c>
      <c r="C54" s="87">
        <f t="shared" si="4"/>
        <v>1</v>
      </c>
      <c r="D54" s="93">
        <f t="shared" ca="1" si="5"/>
        <v>3.5624999999999997E-2</v>
      </c>
      <c r="E54" s="93">
        <f t="shared" ca="1" si="7"/>
        <v>3.5624999999999997E-2</v>
      </c>
      <c r="F54" s="93">
        <f t="shared" si="6"/>
        <v>3.5624999999999997E-2</v>
      </c>
    </row>
    <row r="55" spans="1:6" x14ac:dyDescent="0.2">
      <c r="A55" s="5" t="str">
        <f>CoursesBasis!$B$8&amp;CoursesBasis!P$3</f>
        <v>LDBV</v>
      </c>
      <c r="B55" s="93">
        <f>CoursesBasis!P8</f>
        <v>5.4523437500000001E-2</v>
      </c>
      <c r="C55" s="87">
        <f t="shared" si="4"/>
        <v>0</v>
      </c>
      <c r="D55" s="93" t="str">
        <f t="shared" si="5"/>
        <v/>
      </c>
      <c r="E55" s="93" t="str">
        <f t="shared" si="7"/>
        <v/>
      </c>
      <c r="F55" s="93" t="e">
        <f t="shared" si="6"/>
        <v>#N/A</v>
      </c>
    </row>
    <row r="56" spans="1:6" x14ac:dyDescent="0.2">
      <c r="A56" s="5" t="str">
        <f>CoursesBasis!$B$9&amp;CoursesBasis!P$3</f>
        <v>STBV</v>
      </c>
      <c r="B56" s="93">
        <f>CoursesBasis!P9</f>
        <v>1.9968749999999997E-2</v>
      </c>
      <c r="C56" s="87">
        <f t="shared" si="4"/>
        <v>0</v>
      </c>
      <c r="D56" s="93" t="str">
        <f t="shared" si="5"/>
        <v/>
      </c>
      <c r="E56" s="93" t="str">
        <f t="shared" si="7"/>
        <v/>
      </c>
      <c r="F56" s="93" t="e">
        <f t="shared" si="6"/>
        <v>#N/A</v>
      </c>
    </row>
    <row r="57" spans="1:6" x14ac:dyDescent="0.2">
      <c r="A57" s="5" t="str">
        <f>CoursesBasis!$B$10&amp;CoursesBasis!P$3</f>
        <v>LTBV</v>
      </c>
      <c r="B57" s="93">
        <f>CoursesBasis!P10</f>
        <v>3.1145833333333334E-2</v>
      </c>
      <c r="C57" s="87">
        <f t="shared" si="4"/>
        <v>0</v>
      </c>
      <c r="D57" s="93" t="str">
        <f t="shared" si="5"/>
        <v/>
      </c>
      <c r="E57" s="93" t="str">
        <f t="shared" si="7"/>
        <v/>
      </c>
      <c r="F57" s="93" t="e">
        <f t="shared" si="6"/>
        <v>#N/A</v>
      </c>
    </row>
    <row r="58" spans="1:6" x14ac:dyDescent="0.2">
      <c r="A58" s="5" t="str">
        <f>CoursesBasis!$B$11&amp;CoursesBasis!P$3</f>
        <v>SENBV</v>
      </c>
      <c r="B58" s="93">
        <f>CoursesBasis!P11</f>
        <v>1.6617187499999998E-2</v>
      </c>
      <c r="C58" s="87">
        <f t="shared" si="4"/>
        <v>0</v>
      </c>
      <c r="D58" s="93" t="str">
        <f t="shared" si="5"/>
        <v/>
      </c>
      <c r="E58" s="93" t="str">
        <f t="shared" si="7"/>
        <v/>
      </c>
      <c r="F58" s="93" t="e">
        <f t="shared" si="6"/>
        <v>#N/A</v>
      </c>
    </row>
    <row r="59" spans="1:6" x14ac:dyDescent="0.2">
      <c r="A59" s="5" t="str">
        <f>CoursesBasis!$B$12&amp;CoursesBasis!P$3</f>
        <v>SDNBV</v>
      </c>
      <c r="B59" s="93">
        <f>CoursesBasis!P12</f>
        <v>2.5520833333333333E-2</v>
      </c>
      <c r="C59" s="87">
        <f t="shared" si="4"/>
        <v>1</v>
      </c>
      <c r="D59" s="93">
        <f t="shared" ca="1" si="5"/>
        <v>3.3263888888888891E-2</v>
      </c>
      <c r="E59" s="93">
        <f t="shared" ca="1" si="7"/>
        <v>3.3263888888888891E-2</v>
      </c>
      <c r="F59" s="93">
        <f t="shared" si="6"/>
        <v>3.3263888888888891E-2</v>
      </c>
    </row>
    <row r="60" spans="1:6" x14ac:dyDescent="0.2">
      <c r="A60" s="5" t="str">
        <f>CoursesBasis!$B$13&amp;CoursesBasis!P$3</f>
        <v>LENBV</v>
      </c>
      <c r="B60" s="93">
        <f>CoursesBasis!P13</f>
        <v>3.5364583333333331E-2</v>
      </c>
      <c r="C60" s="87">
        <f t="shared" si="4"/>
        <v>1</v>
      </c>
      <c r="D60" s="93">
        <f t="shared" ca="1" si="5"/>
        <v>4.5486111111111109E-2</v>
      </c>
      <c r="E60" s="93">
        <f t="shared" ca="1" si="7"/>
        <v>4.5486111111111109E-2</v>
      </c>
      <c r="F60" s="93">
        <f t="shared" si="6"/>
        <v>4.5486111111111109E-2</v>
      </c>
    </row>
    <row r="61" spans="1:6" x14ac:dyDescent="0.2">
      <c r="A61" s="5" t="str">
        <f>CoursesBasis!$B$14&amp;CoursesBasis!P$3</f>
        <v>LDNBV</v>
      </c>
      <c r="B61" s="93">
        <f>CoursesBasis!P14</f>
        <v>5.0187500000000003E-2</v>
      </c>
      <c r="C61" s="87">
        <f t="shared" si="4"/>
        <v>1</v>
      </c>
      <c r="D61" s="93">
        <f t="shared" ca="1" si="5"/>
        <v>5.7187500000000002E-2</v>
      </c>
      <c r="E61" s="93">
        <f t="shared" ca="1" si="7"/>
        <v>5.7187500000000002E-2</v>
      </c>
      <c r="F61" s="93">
        <f t="shared" si="6"/>
        <v>5.7187500000000002E-2</v>
      </c>
    </row>
    <row r="62" spans="1:6" x14ac:dyDescent="0.2">
      <c r="A62" s="5" t="str">
        <f>CoursesBasis!$B$15&amp;CoursesBasis!P$3</f>
        <v>FFBV</v>
      </c>
      <c r="B62" s="93">
        <f>CoursesBasis!P15</f>
        <v>2.8776041666666669E-2</v>
      </c>
      <c r="C62" s="87">
        <f t="shared" si="4"/>
        <v>0</v>
      </c>
      <c r="D62" s="93" t="str">
        <f t="shared" si="5"/>
        <v/>
      </c>
      <c r="E62" s="93" t="str">
        <f t="shared" si="7"/>
        <v/>
      </c>
      <c r="F62" s="93">
        <f t="shared" si="6"/>
        <v>0</v>
      </c>
    </row>
    <row r="63" spans="1:6" x14ac:dyDescent="0.2">
      <c r="A63" s="5" t="str">
        <f>CoursesBasis!$B$4&amp;CoursesBasis!Q$3</f>
        <v>SFSJ</v>
      </c>
      <c r="B63" s="93">
        <f>CoursesBasis!Q4</f>
        <v>3.4666666666666672E-2</v>
      </c>
      <c r="C63" s="87">
        <f t="shared" si="4"/>
        <v>0</v>
      </c>
      <c r="D63" s="93" t="str">
        <f t="shared" si="5"/>
        <v/>
      </c>
      <c r="E63" s="93" t="str">
        <f t="shared" si="7"/>
        <v/>
      </c>
      <c r="F63" s="93" t="e">
        <f t="shared" si="6"/>
        <v>#N/A</v>
      </c>
    </row>
    <row r="64" spans="1:6" x14ac:dyDescent="0.2">
      <c r="A64" s="5" t="str">
        <f>CoursesBasis!$B$5&amp;CoursesBasis!Q$3</f>
        <v>SESJ</v>
      </c>
      <c r="B64" s="93">
        <f>CoursesBasis!Q5</f>
        <v>2.2974999999999999E-2</v>
      </c>
      <c r="C64" s="87">
        <f t="shared" si="4"/>
        <v>2</v>
      </c>
      <c r="D64" s="93">
        <f t="shared" ca="1" si="5"/>
        <v>5.4837962962962963E-2</v>
      </c>
      <c r="E64" s="93">
        <f t="shared" ca="1" si="7"/>
        <v>2.7418981481481482E-2</v>
      </c>
      <c r="F64" s="93">
        <f t="shared" si="6"/>
        <v>2.8888888888888891E-2</v>
      </c>
    </row>
    <row r="65" spans="1:6" x14ac:dyDescent="0.2">
      <c r="A65" s="5" t="str">
        <f>CoursesBasis!$B$6&amp;CoursesBasis!Q$3</f>
        <v>SDSJ</v>
      </c>
      <c r="B65" s="93">
        <f>CoursesBasis!Q6</f>
        <v>3.2250000000000001E-2</v>
      </c>
      <c r="C65" s="87">
        <f t="shared" si="4"/>
        <v>0</v>
      </c>
      <c r="D65" s="93" t="str">
        <f t="shared" si="5"/>
        <v/>
      </c>
      <c r="E65" s="93" t="str">
        <f t="shared" si="7"/>
        <v/>
      </c>
      <c r="F65" s="93" t="e">
        <f t="shared" si="6"/>
        <v>#N/A</v>
      </c>
    </row>
    <row r="66" spans="1:6" x14ac:dyDescent="0.2">
      <c r="A66" s="5" t="str">
        <f>CoursesBasis!$B$7&amp;CoursesBasis!Q$3</f>
        <v>LESJ</v>
      </c>
      <c r="B66" s="93">
        <f>CoursesBasis!Q7</f>
        <v>4.2361111111111113E-2</v>
      </c>
      <c r="C66" s="87">
        <f t="shared" si="4"/>
        <v>0</v>
      </c>
      <c r="D66" s="93" t="str">
        <f t="shared" si="5"/>
        <v/>
      </c>
      <c r="E66" s="93" t="str">
        <f t="shared" si="7"/>
        <v/>
      </c>
      <c r="F66" s="93" t="e">
        <f t="shared" si="6"/>
        <v>#N/A</v>
      </c>
    </row>
    <row r="67" spans="1:6" x14ac:dyDescent="0.2">
      <c r="A67" s="5" t="str">
        <f>CoursesBasis!$B$8&amp;CoursesBasis!Q$3</f>
        <v>LDSJ</v>
      </c>
      <c r="B67" s="93">
        <f>CoursesBasis!Q8</f>
        <v>5.815833333333334E-2</v>
      </c>
      <c r="C67" s="87">
        <f t="shared" ref="C67:C74" si="8">IF(ISNA(F67),0,IF(F67&gt;0,COUNTIF(BahnLaufzeiten,A67),0))</f>
        <v>0</v>
      </c>
      <c r="D67" s="93" t="str">
        <f t="shared" ref="D67:D74" si="9">IF(C67&gt;0,SUMIF(BahnLaufzeiten,A67,IstLaufzeiten),"")</f>
        <v/>
      </c>
      <c r="E67" s="93" t="str">
        <f t="shared" si="7"/>
        <v/>
      </c>
      <c r="F67" s="93" t="e">
        <f t="shared" ref="F67:F74" si="10">VLOOKUP(A67,BahnLaufzeiten,13,FALSE)</f>
        <v>#N/A</v>
      </c>
    </row>
    <row r="68" spans="1:6" x14ac:dyDescent="0.2">
      <c r="A68" s="5" t="str">
        <f>CoursesBasis!$B$9&amp;CoursesBasis!Q$3</f>
        <v>STSJ</v>
      </c>
      <c r="B68" s="93">
        <f>CoursesBasis!Q9</f>
        <v>2.1299999999999999E-2</v>
      </c>
      <c r="C68" s="87">
        <f t="shared" si="8"/>
        <v>0</v>
      </c>
      <c r="D68" s="93" t="str">
        <f t="shared" si="9"/>
        <v/>
      </c>
      <c r="E68" s="93" t="str">
        <f t="shared" si="7"/>
        <v/>
      </c>
      <c r="F68" s="93" t="e">
        <f t="shared" si="10"/>
        <v>#N/A</v>
      </c>
    </row>
    <row r="69" spans="1:6" x14ac:dyDescent="0.2">
      <c r="A69" s="5" t="str">
        <f>CoursesBasis!$B$10&amp;CoursesBasis!Q$3</f>
        <v>LTSJ</v>
      </c>
      <c r="B69" s="93">
        <f>CoursesBasis!Q10</f>
        <v>3.3222222222222222E-2</v>
      </c>
      <c r="C69" s="87">
        <f t="shared" si="8"/>
        <v>0</v>
      </c>
      <c r="D69" s="93" t="str">
        <f t="shared" si="9"/>
        <v/>
      </c>
      <c r="E69" s="93" t="str">
        <f t="shared" si="7"/>
        <v/>
      </c>
      <c r="F69" s="93" t="e">
        <f t="shared" si="10"/>
        <v>#N/A</v>
      </c>
    </row>
    <row r="70" spans="1:6" x14ac:dyDescent="0.2">
      <c r="A70" s="5" t="str">
        <f>CoursesBasis!$B$11&amp;CoursesBasis!Q$3</f>
        <v>SENSJ</v>
      </c>
      <c r="B70" s="93">
        <f>CoursesBasis!Q11</f>
        <v>1.7725000000000001E-2</v>
      </c>
      <c r="C70" s="87">
        <f t="shared" si="8"/>
        <v>2</v>
      </c>
      <c r="D70" s="93">
        <f t="shared" ca="1" si="9"/>
        <v>4.7187499999999993E-2</v>
      </c>
      <c r="E70" s="93">
        <f t="shared" ca="1" si="7"/>
        <v>2.3593749999999997E-2</v>
      </c>
      <c r="F70" s="93">
        <f t="shared" si="10"/>
        <v>2.3472222222222217E-2</v>
      </c>
    </row>
    <row r="71" spans="1:6" x14ac:dyDescent="0.2">
      <c r="A71" s="5" t="str">
        <f>CoursesBasis!$B$12&amp;CoursesBasis!Q$3</f>
        <v>SDNSJ</v>
      </c>
      <c r="B71" s="93">
        <f>CoursesBasis!Q12</f>
        <v>2.7222222222222224E-2</v>
      </c>
      <c r="C71" s="87">
        <f t="shared" si="8"/>
        <v>0</v>
      </c>
      <c r="D71" s="93" t="str">
        <f t="shared" si="9"/>
        <v/>
      </c>
      <c r="E71" s="93" t="str">
        <f t="shared" si="7"/>
        <v/>
      </c>
      <c r="F71" s="93" t="e">
        <f t="shared" si="10"/>
        <v>#N/A</v>
      </c>
    </row>
    <row r="72" spans="1:6" x14ac:dyDescent="0.2">
      <c r="A72" s="5" t="str">
        <f>CoursesBasis!$B$13&amp;CoursesBasis!Q$3</f>
        <v>LENSJ</v>
      </c>
      <c r="B72" s="93">
        <f>CoursesBasis!Q13</f>
        <v>3.7722222222222226E-2</v>
      </c>
      <c r="C72" s="87">
        <f t="shared" si="8"/>
        <v>0</v>
      </c>
      <c r="D72" s="93" t="str">
        <f t="shared" si="9"/>
        <v/>
      </c>
      <c r="E72" s="93" t="str">
        <f t="shared" si="7"/>
        <v/>
      </c>
      <c r="F72" s="93" t="e">
        <f t="shared" si="10"/>
        <v>#N/A</v>
      </c>
    </row>
    <row r="73" spans="1:6" x14ac:dyDescent="0.2">
      <c r="A73" s="5" t="str">
        <f>CoursesBasis!$B$14&amp;CoursesBasis!Q$3</f>
        <v>LDNSJ</v>
      </c>
      <c r="B73" s="93">
        <f>CoursesBasis!Q14</f>
        <v>5.3533333333333336E-2</v>
      </c>
      <c r="C73" s="87">
        <f t="shared" si="8"/>
        <v>0</v>
      </c>
      <c r="D73" s="93" t="str">
        <f t="shared" si="9"/>
        <v/>
      </c>
      <c r="E73" s="93" t="str">
        <f t="shared" si="7"/>
        <v/>
      </c>
      <c r="F73" s="93">
        <f t="shared" si="10"/>
        <v>0</v>
      </c>
    </row>
    <row r="74" spans="1:6" x14ac:dyDescent="0.2">
      <c r="A74" s="5" t="str">
        <f>CoursesBasis!$B$15&amp;CoursesBasis!Q$3</f>
        <v>FFSJ</v>
      </c>
      <c r="B74" s="93">
        <f>CoursesBasis!Q15</f>
        <v>3.0694444444444448E-2</v>
      </c>
      <c r="C74" s="87">
        <f t="shared" si="8"/>
        <v>0</v>
      </c>
      <c r="D74" s="93" t="str">
        <f t="shared" si="9"/>
        <v/>
      </c>
      <c r="E74" s="93" t="str">
        <f t="shared" si="7"/>
        <v/>
      </c>
      <c r="F74" s="93">
        <f t="shared" si="10"/>
        <v>0</v>
      </c>
    </row>
  </sheetData>
  <mergeCells count="1">
    <mergeCell ref="C1:F1"/>
  </mergeCells>
  <phoneticPr fontId="1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22</vt:i4>
      </vt:variant>
    </vt:vector>
  </HeadingPairs>
  <TitlesOfParts>
    <vt:vector size="26" baseType="lpstr">
      <vt:lpstr>Parameters</vt:lpstr>
      <vt:lpstr>Plan24h2013</vt:lpstr>
      <vt:lpstr>CoursesBasis</vt:lpstr>
      <vt:lpstr>TimeBasis</vt:lpstr>
      <vt:lpstr>BahnLaufzeiten</vt:lpstr>
      <vt:lpstr>Basis</vt:lpstr>
      <vt:lpstr>Climbfaktor</vt:lpstr>
      <vt:lpstr>Courses</vt:lpstr>
      <vt:lpstr>Dämmerung</vt:lpstr>
      <vt:lpstr>Dämmerungszeit</vt:lpstr>
      <vt:lpstr>Parameters!Druckbereich</vt:lpstr>
      <vt:lpstr>Plan24h2013!Druckbereich</vt:lpstr>
      <vt:lpstr>Plan24h2013!Drucktitel</vt:lpstr>
      <vt:lpstr>Endzeit</vt:lpstr>
      <vt:lpstr>Erm</vt:lpstr>
      <vt:lpstr>ErmP</vt:lpstr>
      <vt:lpstr>IstLaufzeiten</vt:lpstr>
      <vt:lpstr>Schwierigkeit</vt:lpstr>
      <vt:lpstr>SchwierigkeitP</vt:lpstr>
      <vt:lpstr>Staffeldauer</vt:lpstr>
      <vt:lpstr>Startzeit</vt:lpstr>
      <vt:lpstr>Teilnehmer</vt:lpstr>
      <vt:lpstr>TimeBasis</vt:lpstr>
      <vt:lpstr>Twilight</vt:lpstr>
      <vt:lpstr>Zeit</vt:lpstr>
      <vt:lpstr>Zielzeit</vt:lpstr>
    </vt:vector>
  </TitlesOfParts>
  <Company>100world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 ultimative 24-h-OL Tabelle</dc:title>
  <dc:creator>Valerio Casanova;Veikko Baath</dc:creator>
  <cp:lastModifiedBy>Baath, Veikko</cp:lastModifiedBy>
  <cp:lastPrinted>2013-05-06T10:03:09Z</cp:lastPrinted>
  <dcterms:created xsi:type="dcterms:W3CDTF">2009-05-11T13:51:18Z</dcterms:created>
  <dcterms:modified xsi:type="dcterms:W3CDTF">2013-05-14T15:58:31Z</dcterms:modified>
</cp:coreProperties>
</file>