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30" yWindow="615" windowWidth="20175" windowHeight="7770" activeTab="1"/>
  </bookViews>
  <sheets>
    <sheet name="Parameters" sheetId="15" r:id="rId1"/>
    <sheet name="Plan12h2015" sheetId="12" r:id="rId2"/>
    <sheet name="CoursesBasis" sheetId="6" r:id="rId3"/>
    <sheet name="TimeBasis" sheetId="14" r:id="rId4"/>
  </sheets>
  <definedNames>
    <definedName name="_xlnm._FilterDatabase" localSheetId="1" hidden="1">Plan12h2015!$A$2:$X$21</definedName>
    <definedName name="BahnLaufzeiten">Plan12h2015!$H$2:$T$20</definedName>
    <definedName name="Basis">Parameters!$E$3:$F$9</definedName>
    <definedName name="Climbfaktor">Parameters!$C$24</definedName>
    <definedName name="Courses">CoursesBasis!$B$2:$R$24</definedName>
    <definedName name="Dämmerung">Parameters!$C$30</definedName>
    <definedName name="Dämmerungszeit">Parameters!$C$30</definedName>
    <definedName name="_xlnm.Print_Area" localSheetId="0">Parameters!$B:$I</definedName>
    <definedName name="_xlnm.Print_Area" localSheetId="1">Plan12h2015!$A$1:$U$20</definedName>
    <definedName name="_xlnm.Print_Titles" localSheetId="1">Plan12h2015!$A:$D,Plan12h2015!$1:$2</definedName>
    <definedName name="Endzeit">Plan12h2015!$AC$28</definedName>
    <definedName name="Erm">Parameters!$B$50:$C$57</definedName>
    <definedName name="ErmP">Parameters!$B$50:$I$57</definedName>
    <definedName name="IstLaufzeiten">Plan12h2015!$T$2:$T$20</definedName>
    <definedName name="Schwierigkeit">Parameters!$B$13:$C$20</definedName>
    <definedName name="SchwierigkeitP">Parameters!$B$13:$I$20</definedName>
    <definedName name="Staffeldauer">Parameters!$C$31</definedName>
    <definedName name="Startzeit">Parameters!$C$28</definedName>
    <definedName name="Teilnehmer">Parameters!$B$3:$E$9</definedName>
    <definedName name="TimeBasis">TimeBasis!$A$2:$E$74</definedName>
    <definedName name="Twilight">Plan12h2015!$AC$27</definedName>
    <definedName name="Zeit">Parameters!$C$36:$D$42</definedName>
    <definedName name="Zielzeit">Parameters!$C$32</definedName>
  </definedNames>
  <calcPr calcId="145621"/>
</workbook>
</file>

<file path=xl/calcChain.xml><?xml version="1.0" encoding="utf-8"?>
<calcChain xmlns="http://schemas.openxmlformats.org/spreadsheetml/2006/main">
  <c r="N3" i="6" l="1"/>
  <c r="O3" i="6"/>
  <c r="P3" i="6"/>
  <c r="Q3" i="6"/>
  <c r="R3" i="6"/>
  <c r="M3" i="6"/>
  <c r="G4" i="12" l="1"/>
  <c r="U4" i="12" s="1"/>
  <c r="G5" i="12"/>
  <c r="U5" i="12" s="1"/>
  <c r="G6" i="12"/>
  <c r="U6" i="12" s="1"/>
  <c r="G7" i="12"/>
  <c r="U7" i="12" s="1"/>
  <c r="G8" i="12"/>
  <c r="U8" i="12" s="1"/>
  <c r="G9" i="12"/>
  <c r="U9" i="12" s="1"/>
  <c r="G10" i="12"/>
  <c r="U10" i="12" s="1"/>
  <c r="G11" i="12"/>
  <c r="U11" i="12" s="1"/>
  <c r="G12" i="12"/>
  <c r="U12" i="12" s="1"/>
  <c r="G13" i="12"/>
  <c r="U13" i="12" s="1"/>
  <c r="G14" i="12"/>
  <c r="U14" i="12" s="1"/>
  <c r="G15" i="12"/>
  <c r="U15" i="12" s="1"/>
  <c r="G16" i="12"/>
  <c r="U16" i="12" s="1"/>
  <c r="G17" i="12"/>
  <c r="U17" i="12" s="1"/>
  <c r="G18" i="12"/>
  <c r="U18" i="12" s="1"/>
  <c r="G19" i="12"/>
  <c r="U19" i="12" s="1"/>
  <c r="G20" i="12"/>
  <c r="U20" i="12" s="1"/>
  <c r="G3" i="12"/>
  <c r="U3" i="12" s="1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13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91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69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47" i="14"/>
  <c r="A45" i="14"/>
  <c r="A46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25" i="14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3" i="14"/>
  <c r="K20" i="6"/>
  <c r="Q20" i="6" s="1"/>
  <c r="B108" i="14" s="1"/>
  <c r="K19" i="6"/>
  <c r="M19" i="6" s="1"/>
  <c r="B19" i="14" s="1"/>
  <c r="K18" i="6"/>
  <c r="P18" i="6" s="1"/>
  <c r="B84" i="14" s="1"/>
  <c r="K17" i="6"/>
  <c r="Q17" i="6" s="1"/>
  <c r="B105" i="14" s="1"/>
  <c r="K16" i="6"/>
  <c r="Q16" i="6" s="1"/>
  <c r="B104" i="14" s="1"/>
  <c r="K15" i="6"/>
  <c r="Q15" i="6" s="1"/>
  <c r="B103" i="14" s="1"/>
  <c r="K14" i="6"/>
  <c r="O14" i="6" s="1"/>
  <c r="B58" i="14" s="1"/>
  <c r="Q13" i="6"/>
  <c r="B101" i="14" s="1"/>
  <c r="K13" i="6"/>
  <c r="O13" i="6" s="1"/>
  <c r="B57" i="14" s="1"/>
  <c r="K12" i="6"/>
  <c r="K23" i="6" s="1"/>
  <c r="O11" i="6"/>
  <c r="B55" i="14" s="1"/>
  <c r="K11" i="6"/>
  <c r="M11" i="6" s="1"/>
  <c r="B11" i="14" s="1"/>
  <c r="K10" i="6"/>
  <c r="P10" i="6" s="1"/>
  <c r="B76" i="14" s="1"/>
  <c r="R9" i="6"/>
  <c r="B119" i="14" s="1"/>
  <c r="Q9" i="6"/>
  <c r="B97" i="14" s="1"/>
  <c r="K9" i="6"/>
  <c r="M9" i="6" s="1"/>
  <c r="B9" i="14" s="1"/>
  <c r="K8" i="6"/>
  <c r="K22" i="6" s="1"/>
  <c r="O22" i="6" s="1"/>
  <c r="B66" i="14" s="1"/>
  <c r="K7" i="6"/>
  <c r="M7" i="6" s="1"/>
  <c r="B7" i="14" s="1"/>
  <c r="K6" i="6"/>
  <c r="N6" i="6" s="1"/>
  <c r="B28" i="14" s="1"/>
  <c r="K5" i="6"/>
  <c r="O5" i="6" s="1"/>
  <c r="B49" i="14" s="1"/>
  <c r="K4" i="6"/>
  <c r="M4" i="6" s="1"/>
  <c r="B4" i="14" s="1"/>
  <c r="K3" i="6"/>
  <c r="B3" i="14" s="1"/>
  <c r="K21" i="6" l="1"/>
  <c r="M13" i="6"/>
  <c r="B13" i="14" s="1"/>
  <c r="N14" i="6"/>
  <c r="B36" i="14" s="1"/>
  <c r="P16" i="6"/>
  <c r="B82" i="14" s="1"/>
  <c r="P19" i="6"/>
  <c r="B85" i="14" s="1"/>
  <c r="M17" i="6"/>
  <c r="B17" i="14" s="1"/>
  <c r="R20" i="6"/>
  <c r="B130" i="14" s="1"/>
  <c r="Q5" i="6"/>
  <c r="B93" i="14" s="1"/>
  <c r="R17" i="6"/>
  <c r="B127" i="14" s="1"/>
  <c r="O19" i="6"/>
  <c r="B63" i="14" s="1"/>
  <c r="M5" i="6"/>
  <c r="B5" i="14" s="1"/>
  <c r="R4" i="6"/>
  <c r="B114" i="14" s="1"/>
  <c r="B47" i="14"/>
  <c r="P8" i="6"/>
  <c r="B74" i="14" s="1"/>
  <c r="R12" i="6"/>
  <c r="B122" i="14" s="1"/>
  <c r="B69" i="14"/>
  <c r="O6" i="6"/>
  <c r="B50" i="14" s="1"/>
  <c r="P11" i="6"/>
  <c r="B77" i="14" s="1"/>
  <c r="M20" i="6"/>
  <c r="B20" i="14" s="1"/>
  <c r="N22" i="6"/>
  <c r="B44" i="14" s="1"/>
  <c r="M6" i="6"/>
  <c r="B6" i="14" s="1"/>
  <c r="M12" i="6"/>
  <c r="B12" i="14" s="1"/>
  <c r="Q23" i="6"/>
  <c r="B111" i="14" s="1"/>
  <c r="M23" i="6"/>
  <c r="B23" i="14" s="1"/>
  <c r="O23" i="6"/>
  <c r="B67" i="14" s="1"/>
  <c r="P23" i="6"/>
  <c r="B89" i="14" s="1"/>
  <c r="Q7" i="6"/>
  <c r="B95" i="14" s="1"/>
  <c r="N23" i="6"/>
  <c r="B45" i="14" s="1"/>
  <c r="N19" i="6"/>
  <c r="B41" i="14" s="1"/>
  <c r="N15" i="6"/>
  <c r="B37" i="14" s="1"/>
  <c r="N11" i="6"/>
  <c r="B33" i="14" s="1"/>
  <c r="N7" i="6"/>
  <c r="B29" i="14" s="1"/>
  <c r="B25" i="14"/>
  <c r="R23" i="6"/>
  <c r="B133" i="14" s="1"/>
  <c r="R19" i="6"/>
  <c r="B129" i="14" s="1"/>
  <c r="R15" i="6"/>
  <c r="B125" i="14" s="1"/>
  <c r="R11" i="6"/>
  <c r="B121" i="14" s="1"/>
  <c r="R7" i="6"/>
  <c r="B117" i="14" s="1"/>
  <c r="B113" i="14"/>
  <c r="N9" i="6"/>
  <c r="B31" i="14" s="1"/>
  <c r="N12" i="6"/>
  <c r="B34" i="14" s="1"/>
  <c r="M15" i="6"/>
  <c r="B15" i="14" s="1"/>
  <c r="N20" i="6"/>
  <c r="B42" i="14" s="1"/>
  <c r="O20" i="6"/>
  <c r="B64" i="14" s="1"/>
  <c r="O16" i="6"/>
  <c r="B60" i="14" s="1"/>
  <c r="O12" i="6"/>
  <c r="B56" i="14" s="1"/>
  <c r="O8" i="6"/>
  <c r="B52" i="14" s="1"/>
  <c r="O4" i="6"/>
  <c r="B48" i="14" s="1"/>
  <c r="K25" i="6"/>
  <c r="B91" i="14"/>
  <c r="P4" i="6"/>
  <c r="B70" i="14" s="1"/>
  <c r="R5" i="6"/>
  <c r="B115" i="14" s="1"/>
  <c r="P6" i="6"/>
  <c r="B72" i="14" s="1"/>
  <c r="O7" i="6"/>
  <c r="B51" i="14" s="1"/>
  <c r="M8" i="6"/>
  <c r="B8" i="14" s="1"/>
  <c r="R8" i="6"/>
  <c r="B118" i="14" s="1"/>
  <c r="O9" i="6"/>
  <c r="B53" i="14" s="1"/>
  <c r="N10" i="6"/>
  <c r="B32" i="14" s="1"/>
  <c r="Q11" i="6"/>
  <c r="B99" i="14" s="1"/>
  <c r="P12" i="6"/>
  <c r="B78" i="14" s="1"/>
  <c r="R13" i="6"/>
  <c r="B123" i="14" s="1"/>
  <c r="P14" i="6"/>
  <c r="B80" i="14" s="1"/>
  <c r="O15" i="6"/>
  <c r="B59" i="14" s="1"/>
  <c r="M16" i="6"/>
  <c r="B16" i="14" s="1"/>
  <c r="R16" i="6"/>
  <c r="B126" i="14" s="1"/>
  <c r="O17" i="6"/>
  <c r="B61" i="14" s="1"/>
  <c r="N18" i="6"/>
  <c r="B40" i="14" s="1"/>
  <c r="Q19" i="6"/>
  <c r="B107" i="14" s="1"/>
  <c r="P20" i="6"/>
  <c r="B86" i="14" s="1"/>
  <c r="R22" i="6"/>
  <c r="B132" i="14" s="1"/>
  <c r="K24" i="6"/>
  <c r="N24" i="6" s="1"/>
  <c r="B46" i="14" s="1"/>
  <c r="N4" i="6"/>
  <c r="B26" i="14" s="1"/>
  <c r="Q8" i="6"/>
  <c r="B96" i="14" s="1"/>
  <c r="R10" i="6"/>
  <c r="B120" i="14" s="1"/>
  <c r="N17" i="6"/>
  <c r="B39" i="14" s="1"/>
  <c r="R18" i="6"/>
  <c r="B128" i="14" s="1"/>
  <c r="P17" i="6"/>
  <c r="B83" i="14" s="1"/>
  <c r="P13" i="6"/>
  <c r="B79" i="14" s="1"/>
  <c r="P9" i="6"/>
  <c r="B75" i="14" s="1"/>
  <c r="P5" i="6"/>
  <c r="B71" i="14" s="1"/>
  <c r="P22" i="6"/>
  <c r="B88" i="14" s="1"/>
  <c r="Q4" i="6"/>
  <c r="B92" i="14" s="1"/>
  <c r="N5" i="6"/>
  <c r="B27" i="14" s="1"/>
  <c r="R6" i="6"/>
  <c r="B116" i="14" s="1"/>
  <c r="P7" i="6"/>
  <c r="B73" i="14" s="1"/>
  <c r="N8" i="6"/>
  <c r="B30" i="14" s="1"/>
  <c r="O10" i="6"/>
  <c r="B54" i="14" s="1"/>
  <c r="Q12" i="6"/>
  <c r="B100" i="14" s="1"/>
  <c r="N13" i="6"/>
  <c r="B35" i="14" s="1"/>
  <c r="R14" i="6"/>
  <c r="B124" i="14" s="1"/>
  <c r="P15" i="6"/>
  <c r="B81" i="14" s="1"/>
  <c r="N16" i="6"/>
  <c r="B38" i="14" s="1"/>
  <c r="O18" i="6"/>
  <c r="B62" i="14" s="1"/>
  <c r="Q6" i="6"/>
  <c r="B94" i="14" s="1"/>
  <c r="M10" i="6"/>
  <c r="B10" i="14" s="1"/>
  <c r="Q10" i="6"/>
  <c r="B98" i="14" s="1"/>
  <c r="M14" i="6"/>
  <c r="B14" i="14" s="1"/>
  <c r="Q14" i="6"/>
  <c r="B102" i="14" s="1"/>
  <c r="M18" i="6"/>
  <c r="B18" i="14" s="1"/>
  <c r="Q18" i="6"/>
  <c r="B106" i="14" s="1"/>
  <c r="M22" i="6"/>
  <c r="B22" i="14" s="1"/>
  <c r="Q22" i="6"/>
  <c r="B110" i="14" s="1"/>
  <c r="T21" i="12"/>
  <c r="M21" i="6" l="1"/>
  <c r="B21" i="14" s="1"/>
  <c r="Q21" i="6"/>
  <c r="B109" i="14" s="1"/>
  <c r="O21" i="6"/>
  <c r="B65" i="14" s="1"/>
  <c r="N21" i="6"/>
  <c r="B43" i="14" s="1"/>
  <c r="P21" i="6"/>
  <c r="B87" i="14" s="1"/>
  <c r="O24" i="6"/>
  <c r="B68" i="14" s="1"/>
  <c r="R24" i="6"/>
  <c r="B134" i="14" s="1"/>
  <c r="R21" i="6"/>
  <c r="B131" i="14" s="1"/>
  <c r="M24" i="6"/>
  <c r="B24" i="14" s="1"/>
  <c r="P24" i="6"/>
  <c r="B90" i="14" s="1"/>
  <c r="Q24" i="6"/>
  <c r="B112" i="14" s="1"/>
  <c r="D51" i="15"/>
  <c r="E51" i="15"/>
  <c r="F51" i="15"/>
  <c r="G51" i="15"/>
  <c r="H51" i="15"/>
  <c r="I51" i="15"/>
  <c r="D52" i="15"/>
  <c r="E52" i="15"/>
  <c r="F52" i="15"/>
  <c r="G52" i="15"/>
  <c r="H52" i="15"/>
  <c r="I52" i="15"/>
  <c r="D53" i="15"/>
  <c r="E53" i="15"/>
  <c r="F53" i="15"/>
  <c r="G53" i="15"/>
  <c r="H53" i="15"/>
  <c r="I53" i="15"/>
  <c r="D54" i="15"/>
  <c r="E54" i="15"/>
  <c r="F54" i="15"/>
  <c r="G54" i="15"/>
  <c r="H54" i="15"/>
  <c r="I54" i="15"/>
  <c r="D55" i="15"/>
  <c r="E55" i="15"/>
  <c r="F55" i="15"/>
  <c r="G55" i="15"/>
  <c r="H55" i="15"/>
  <c r="I55" i="15"/>
  <c r="D56" i="15"/>
  <c r="E56" i="15"/>
  <c r="F56" i="15"/>
  <c r="G56" i="15"/>
  <c r="H56" i="15"/>
  <c r="I56" i="15"/>
  <c r="D57" i="15"/>
  <c r="E57" i="15"/>
  <c r="F57" i="15"/>
  <c r="G57" i="15"/>
  <c r="H57" i="15"/>
  <c r="I57" i="15"/>
  <c r="C52" i="15"/>
  <c r="C53" i="15"/>
  <c r="C54" i="15"/>
  <c r="C55" i="15"/>
  <c r="C56" i="15"/>
  <c r="C57" i="15"/>
  <c r="C51" i="15"/>
  <c r="AC26" i="12" l="1"/>
  <c r="E38" i="15" l="1"/>
  <c r="C38" i="15"/>
  <c r="S3" i="12"/>
  <c r="D4" i="12"/>
  <c r="H4" i="12" s="1"/>
  <c r="D5" i="12"/>
  <c r="H5" i="12" s="1"/>
  <c r="D6" i="12"/>
  <c r="H6" i="12" s="1"/>
  <c r="D7" i="12"/>
  <c r="H7" i="12" s="1"/>
  <c r="D8" i="12"/>
  <c r="H8" i="12" s="1"/>
  <c r="D9" i="12"/>
  <c r="H9" i="12" s="1"/>
  <c r="D10" i="12"/>
  <c r="H10" i="12" s="1"/>
  <c r="D11" i="12"/>
  <c r="H11" i="12" s="1"/>
  <c r="D12" i="12"/>
  <c r="H12" i="12" s="1"/>
  <c r="D13" i="12"/>
  <c r="H13" i="12" s="1"/>
  <c r="D14" i="12"/>
  <c r="H14" i="12" s="1"/>
  <c r="D15" i="12"/>
  <c r="H15" i="12" s="1"/>
  <c r="D16" i="12"/>
  <c r="H16" i="12" s="1"/>
  <c r="D17" i="12"/>
  <c r="H17" i="12" s="1"/>
  <c r="D18" i="12"/>
  <c r="H18" i="12" s="1"/>
  <c r="D19" i="12"/>
  <c r="H19" i="12" s="1"/>
  <c r="D20" i="12"/>
  <c r="H20" i="12" s="1"/>
  <c r="D3" i="12"/>
  <c r="H3" i="12" s="1"/>
  <c r="C4" i="12"/>
  <c r="C5" i="12"/>
  <c r="C6" i="12"/>
  <c r="C7" i="12"/>
  <c r="C8" i="12"/>
  <c r="C3" i="12"/>
  <c r="C9" i="15"/>
  <c r="C8" i="15"/>
  <c r="C7" i="15"/>
  <c r="C6" i="15"/>
  <c r="C5" i="15"/>
  <c r="C4" i="15"/>
  <c r="I50" i="15"/>
  <c r="H50" i="15"/>
  <c r="G50" i="15"/>
  <c r="F50" i="15"/>
  <c r="E50" i="15"/>
  <c r="D50" i="15"/>
  <c r="I46" i="15"/>
  <c r="H46" i="15"/>
  <c r="G46" i="15"/>
  <c r="F46" i="15"/>
  <c r="E46" i="15"/>
  <c r="D46" i="15"/>
  <c r="I13" i="15"/>
  <c r="H13" i="15"/>
  <c r="F13" i="15"/>
  <c r="E13" i="15"/>
  <c r="D13" i="15"/>
  <c r="G13" i="15"/>
  <c r="AI2" i="12" l="1"/>
  <c r="AH2" i="12"/>
  <c r="AG2" i="12"/>
  <c r="AF2" i="12"/>
  <c r="AE2" i="12"/>
  <c r="AD2" i="12"/>
  <c r="J3" i="12"/>
  <c r="J4" i="12"/>
  <c r="J5" i="12"/>
  <c r="J6" i="12"/>
  <c r="J7" i="12"/>
  <c r="J8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3" i="12"/>
  <c r="E39" i="15" l="1"/>
  <c r="E40" i="15"/>
  <c r="E41" i="15"/>
  <c r="E42" i="15"/>
  <c r="E37" i="15"/>
  <c r="R3" i="12"/>
  <c r="AA4" i="12" l="1"/>
  <c r="AA5" i="12"/>
  <c r="AA6" i="12"/>
  <c r="AA7" i="12"/>
  <c r="AA8" i="12"/>
  <c r="AA9" i="12"/>
  <c r="AA10" i="12"/>
  <c r="AA11" i="12"/>
  <c r="AA12" i="12"/>
  <c r="AA13" i="12"/>
  <c r="AA14" i="12"/>
  <c r="AA3" i="12"/>
  <c r="I9" i="12"/>
  <c r="J9" i="12" s="1"/>
  <c r="I10" i="12"/>
  <c r="I11" i="12"/>
  <c r="J11" i="12" s="1"/>
  <c r="I12" i="12"/>
  <c r="J12" i="12" s="1"/>
  <c r="I13" i="12"/>
  <c r="J13" i="12" s="1"/>
  <c r="I14" i="12"/>
  <c r="J14" i="12" s="1"/>
  <c r="Z19" i="12"/>
  <c r="Z20" i="12"/>
  <c r="Z21" i="12"/>
  <c r="Z22" i="12"/>
  <c r="Z23" i="12"/>
  <c r="Z18" i="12"/>
  <c r="C32" i="15"/>
  <c r="AC28" i="12" s="1"/>
  <c r="C30" i="15"/>
  <c r="C42" i="15"/>
  <c r="C41" i="15"/>
  <c r="C40" i="15"/>
  <c r="C39" i="15"/>
  <c r="C37" i="15"/>
  <c r="AB3" i="12"/>
  <c r="AC3" i="12" s="1"/>
  <c r="AB4" i="12"/>
  <c r="AC4" i="12" s="1"/>
  <c r="AB5" i="12"/>
  <c r="AC5" i="12" s="1"/>
  <c r="AB6" i="12"/>
  <c r="AC6" i="12" s="1"/>
  <c r="AB7" i="12"/>
  <c r="AC7" i="12" s="1"/>
  <c r="AB8" i="12"/>
  <c r="AC8" i="12" s="1"/>
  <c r="AB9" i="12"/>
  <c r="AC9" i="12" s="1"/>
  <c r="AB10" i="12"/>
  <c r="AC10" i="12" s="1"/>
  <c r="AB11" i="12"/>
  <c r="AC11" i="12" s="1"/>
  <c r="AB12" i="12"/>
  <c r="AC12" i="12" s="1"/>
  <c r="AB13" i="12"/>
  <c r="AC13" i="12" s="1"/>
  <c r="AB14" i="12"/>
  <c r="AC14" i="12" s="1"/>
  <c r="F66" i="14" l="1"/>
  <c r="C66" i="14" s="1"/>
  <c r="F89" i="14"/>
  <c r="C89" i="14" s="1"/>
  <c r="I19" i="12"/>
  <c r="AC27" i="12"/>
  <c r="S4" i="12" s="1"/>
  <c r="S5" i="12" s="1"/>
  <c r="S6" i="12" s="1"/>
  <c r="I15" i="12"/>
  <c r="I20" i="12"/>
  <c r="I18" i="12"/>
  <c r="I17" i="12"/>
  <c r="I16" i="12"/>
  <c r="J16" i="12" s="1"/>
  <c r="J10" i="12"/>
  <c r="V7" i="12"/>
  <c r="V6" i="12"/>
  <c r="V11" i="12"/>
  <c r="V4" i="12"/>
  <c r="V9" i="12"/>
  <c r="V13" i="12"/>
  <c r="V17" i="12"/>
  <c r="V5" i="12"/>
  <c r="V10" i="12"/>
  <c r="V14" i="12"/>
  <c r="V18" i="12"/>
  <c r="V15" i="12"/>
  <c r="V19" i="12"/>
  <c r="V12" i="12"/>
  <c r="V16" i="12"/>
  <c r="V20" i="12"/>
  <c r="V8" i="12"/>
  <c r="L3" i="12"/>
  <c r="AB15" i="12"/>
  <c r="AC15" i="12"/>
  <c r="D66" i="14" l="1"/>
  <c r="E66" i="14"/>
  <c r="D89" i="14"/>
  <c r="E89" i="14"/>
  <c r="J19" i="12"/>
  <c r="J17" i="12"/>
  <c r="J20" i="12"/>
  <c r="J18" i="12"/>
  <c r="J15" i="12"/>
  <c r="M3" i="12"/>
  <c r="P3" i="12" s="1"/>
  <c r="S7" i="12"/>
  <c r="U21" i="12"/>
  <c r="F70" i="14" l="1"/>
  <c r="C70" i="14" s="1"/>
  <c r="F63" i="14"/>
  <c r="C63" i="14" s="1"/>
  <c r="F72" i="14"/>
  <c r="C72" i="14" s="1"/>
  <c r="F56" i="14"/>
  <c r="C56" i="14" s="1"/>
  <c r="F90" i="14"/>
  <c r="C90" i="14" s="1"/>
  <c r="F76" i="14"/>
  <c r="C76" i="14" s="1"/>
  <c r="F57" i="14"/>
  <c r="C57" i="14" s="1"/>
  <c r="F73" i="14"/>
  <c r="C73" i="14" s="1"/>
  <c r="F81" i="14"/>
  <c r="C81" i="14" s="1"/>
  <c r="F58" i="14"/>
  <c r="C58" i="14" s="1"/>
  <c r="F61" i="14"/>
  <c r="C61" i="14" s="1"/>
  <c r="F84" i="14"/>
  <c r="C84" i="14" s="1"/>
  <c r="F74" i="14"/>
  <c r="C74" i="14" s="1"/>
  <c r="F59" i="14"/>
  <c r="C59" i="14" s="1"/>
  <c r="F87" i="14"/>
  <c r="C87" i="14" s="1"/>
  <c r="F77" i="14"/>
  <c r="C77" i="14" s="1"/>
  <c r="F69" i="14"/>
  <c r="C69" i="14" s="1"/>
  <c r="F48" i="14"/>
  <c r="C48" i="14" s="1"/>
  <c r="F47" i="14"/>
  <c r="C47" i="14" s="1"/>
  <c r="F71" i="14"/>
  <c r="C71" i="14" s="1"/>
  <c r="F83" i="14"/>
  <c r="C83" i="14" s="1"/>
  <c r="F50" i="14"/>
  <c r="C50" i="14" s="1"/>
  <c r="F78" i="14"/>
  <c r="C78" i="14" s="1"/>
  <c r="F67" i="14"/>
  <c r="C67" i="14" s="1"/>
  <c r="F80" i="14"/>
  <c r="C80" i="14" s="1"/>
  <c r="F64" i="14"/>
  <c r="C64" i="14" s="1"/>
  <c r="F51" i="14"/>
  <c r="C51" i="14" s="1"/>
  <c r="F52" i="14"/>
  <c r="C52" i="14" s="1"/>
  <c r="F54" i="14"/>
  <c r="C54" i="14" s="1"/>
  <c r="F49" i="14"/>
  <c r="C49" i="14" s="1"/>
  <c r="F53" i="14"/>
  <c r="C53" i="14" s="1"/>
  <c r="F65" i="14"/>
  <c r="C65" i="14" s="1"/>
  <c r="F62" i="14"/>
  <c r="C62" i="14" s="1"/>
  <c r="F86" i="14"/>
  <c r="C86" i="14" s="1"/>
  <c r="F88" i="14"/>
  <c r="C88" i="14" s="1"/>
  <c r="F60" i="14"/>
  <c r="C60" i="14" s="1"/>
  <c r="F79" i="14"/>
  <c r="C79" i="14" s="1"/>
  <c r="F55" i="14"/>
  <c r="C55" i="14" s="1"/>
  <c r="F68" i="14"/>
  <c r="C68" i="14" s="1"/>
  <c r="F82" i="14"/>
  <c r="C82" i="14" s="1"/>
  <c r="F85" i="14"/>
  <c r="C85" i="14" s="1"/>
  <c r="F75" i="14"/>
  <c r="C75" i="14" s="1"/>
  <c r="F3" i="14"/>
  <c r="F5" i="14"/>
  <c r="F32" i="14"/>
  <c r="F17" i="14"/>
  <c r="F45" i="14"/>
  <c r="O3" i="12"/>
  <c r="N4" i="12" s="1"/>
  <c r="S8" i="12"/>
  <c r="V3" i="12"/>
  <c r="W3" i="12" s="1"/>
  <c r="X3" i="12" s="1"/>
  <c r="D65" i="14" l="1"/>
  <c r="E65" i="14"/>
  <c r="E52" i="14"/>
  <c r="D52" i="14"/>
  <c r="D71" i="14"/>
  <c r="E71" i="14"/>
  <c r="D84" i="14"/>
  <c r="E84" i="14"/>
  <c r="E68" i="14"/>
  <c r="D68" i="14"/>
  <c r="E53" i="14"/>
  <c r="D53" i="14"/>
  <c r="D78" i="14"/>
  <c r="E78" i="14"/>
  <c r="E87" i="14"/>
  <c r="D87" i="14"/>
  <c r="E61" i="14"/>
  <c r="D61" i="14"/>
  <c r="E72" i="14"/>
  <c r="D72" i="14"/>
  <c r="E75" i="14"/>
  <c r="D75" i="14"/>
  <c r="E55" i="14"/>
  <c r="D55" i="14"/>
  <c r="E86" i="14"/>
  <c r="D86" i="14"/>
  <c r="E49" i="14"/>
  <c r="D49" i="14"/>
  <c r="D64" i="14"/>
  <c r="E64" i="14"/>
  <c r="E50" i="14"/>
  <c r="D50" i="14"/>
  <c r="D48" i="14"/>
  <c r="E48" i="14"/>
  <c r="D59" i="14"/>
  <c r="E59" i="14"/>
  <c r="E58" i="14"/>
  <c r="D58" i="14"/>
  <c r="D76" i="14"/>
  <c r="E76" i="14"/>
  <c r="E63" i="14"/>
  <c r="D63" i="14"/>
  <c r="E82" i="14"/>
  <c r="D82" i="14"/>
  <c r="D60" i="14"/>
  <c r="E60" i="14"/>
  <c r="E67" i="14"/>
  <c r="D67" i="14"/>
  <c r="E77" i="14"/>
  <c r="D77" i="14"/>
  <c r="D73" i="14"/>
  <c r="E73" i="14"/>
  <c r="D56" i="14"/>
  <c r="E56" i="14"/>
  <c r="E88" i="14"/>
  <c r="D88" i="14"/>
  <c r="E51" i="14"/>
  <c r="D51" i="14"/>
  <c r="D47" i="14"/>
  <c r="E47" i="14"/>
  <c r="D57" i="14"/>
  <c r="E57" i="14"/>
  <c r="E85" i="14"/>
  <c r="D85" i="14"/>
  <c r="D79" i="14"/>
  <c r="E79" i="14"/>
  <c r="E62" i="14"/>
  <c r="D62" i="14"/>
  <c r="D54" i="14"/>
  <c r="E54" i="14"/>
  <c r="E80" i="14"/>
  <c r="D80" i="14"/>
  <c r="E83" i="14"/>
  <c r="D83" i="14"/>
  <c r="D69" i="14"/>
  <c r="E69" i="14"/>
  <c r="E74" i="14"/>
  <c r="D74" i="14"/>
  <c r="D81" i="14"/>
  <c r="E81" i="14"/>
  <c r="E90" i="14"/>
  <c r="D90" i="14"/>
  <c r="E70" i="14"/>
  <c r="D70" i="14"/>
  <c r="S9" i="12"/>
  <c r="F35" i="14" l="1"/>
  <c r="R4" i="12"/>
  <c r="Q4" i="12"/>
  <c r="L4" i="12"/>
  <c r="F19" i="14"/>
  <c r="F46" i="14"/>
  <c r="S10" i="12"/>
  <c r="F11" i="14" l="1"/>
  <c r="F34" i="14"/>
  <c r="F24" i="14"/>
  <c r="F40" i="14"/>
  <c r="F12" i="14"/>
  <c r="F22" i="14"/>
  <c r="F28" i="14"/>
  <c r="F41" i="14"/>
  <c r="F7" i="14"/>
  <c r="F18" i="14"/>
  <c r="F30" i="14"/>
  <c r="F16" i="14"/>
  <c r="F21" i="14"/>
  <c r="C21" i="14" s="1"/>
  <c r="F8" i="14"/>
  <c r="C8" i="14" s="1"/>
  <c r="F44" i="14"/>
  <c r="C44" i="14" s="1"/>
  <c r="F9" i="14"/>
  <c r="C9" i="14" s="1"/>
  <c r="F4" i="14"/>
  <c r="C4" i="14" s="1"/>
  <c r="F33" i="14"/>
  <c r="C33" i="14" s="1"/>
  <c r="F43" i="14"/>
  <c r="C43" i="14" s="1"/>
  <c r="M4" i="12"/>
  <c r="W4" i="12" s="1"/>
  <c r="F6" i="14"/>
  <c r="F26" i="14"/>
  <c r="C26" i="14" s="1"/>
  <c r="F20" i="14"/>
  <c r="C20" i="14" s="1"/>
  <c r="F42" i="14"/>
  <c r="F39" i="14"/>
  <c r="C39" i="14" s="1"/>
  <c r="F31" i="14"/>
  <c r="C31" i="14" s="1"/>
  <c r="F13" i="14"/>
  <c r="C13" i="14" s="1"/>
  <c r="F23" i="14"/>
  <c r="C23" i="14" s="1"/>
  <c r="F10" i="14"/>
  <c r="C10" i="14" s="1"/>
  <c r="F29" i="14"/>
  <c r="F37" i="14"/>
  <c r="C37" i="14" s="1"/>
  <c r="F25" i="14"/>
  <c r="C25" i="14" s="1"/>
  <c r="F27" i="14"/>
  <c r="C27" i="14" s="1"/>
  <c r="F15" i="14"/>
  <c r="C15" i="14" s="1"/>
  <c r="S11" i="12"/>
  <c r="O4" i="12" l="1"/>
  <c r="N5" i="12" s="1"/>
  <c r="P4" i="12"/>
  <c r="X4" i="12" s="1"/>
  <c r="S12" i="12"/>
  <c r="R5" i="12" l="1"/>
  <c r="Q5" i="12"/>
  <c r="L5" i="12"/>
  <c r="S13" i="12"/>
  <c r="M5" i="12" l="1"/>
  <c r="W5" i="12" s="1"/>
  <c r="S14" i="12"/>
  <c r="O5" i="12" l="1"/>
  <c r="N6" i="12" s="1"/>
  <c r="Q6" i="12" s="1"/>
  <c r="P5" i="12"/>
  <c r="R6" i="12"/>
  <c r="S15" i="12"/>
  <c r="L6" i="12" l="1"/>
  <c r="M6" i="12" s="1"/>
  <c r="X5" i="12"/>
  <c r="W6" i="12"/>
  <c r="S16" i="12"/>
  <c r="P6" i="12" l="1"/>
  <c r="X6" i="12" s="1"/>
  <c r="O6" i="12"/>
  <c r="R7" i="12"/>
  <c r="S17" i="12"/>
  <c r="N7" i="12" l="1"/>
  <c r="Q7" i="12" s="1"/>
  <c r="W7" i="12"/>
  <c r="S18" i="12"/>
  <c r="L7" i="12" l="1"/>
  <c r="M7" i="12" s="1"/>
  <c r="R8" i="12"/>
  <c r="S19" i="12"/>
  <c r="P7" i="12" l="1"/>
  <c r="X7" i="12" s="1"/>
  <c r="O7" i="12"/>
  <c r="W8" i="12"/>
  <c r="S20" i="12"/>
  <c r="N8" i="12" l="1"/>
  <c r="R9" i="12"/>
  <c r="L8" i="12" l="1"/>
  <c r="M8" i="12" s="1"/>
  <c r="Q8" i="12"/>
  <c r="R10" i="12"/>
  <c r="P8" i="12" l="1"/>
  <c r="X8" i="12" s="1"/>
  <c r="O8" i="12"/>
  <c r="N9" i="12" s="1"/>
  <c r="W9" i="12"/>
  <c r="Q9" i="12" l="1"/>
  <c r="L9" i="12"/>
  <c r="M9" i="12" s="1"/>
  <c r="W10" i="12"/>
  <c r="R11" i="12"/>
  <c r="P9" i="12" l="1"/>
  <c r="X9" i="12" s="1"/>
  <c r="O9" i="12"/>
  <c r="N10" i="12" l="1"/>
  <c r="R12" i="12"/>
  <c r="L10" i="12" l="1"/>
  <c r="M10" i="12" s="1"/>
  <c r="C9" i="12"/>
  <c r="Q10" i="12"/>
  <c r="P10" i="12" l="1"/>
  <c r="X10" i="12" s="1"/>
  <c r="O10" i="12"/>
  <c r="N11" i="12" s="1"/>
  <c r="Q11" i="12" l="1"/>
  <c r="C10" i="12"/>
  <c r="L11" i="12"/>
  <c r="M11" i="12" s="1"/>
  <c r="W11" i="12" l="1"/>
  <c r="P11" i="12"/>
  <c r="O11" i="12"/>
  <c r="N12" i="12" s="1"/>
  <c r="X11" i="12" l="1"/>
  <c r="Q12" i="12"/>
  <c r="C11" i="12"/>
  <c r="L12" i="12"/>
  <c r="M12" i="12" s="1"/>
  <c r="W12" i="12" l="1"/>
  <c r="P12" i="12"/>
  <c r="O12" i="12"/>
  <c r="N13" i="12" s="1"/>
  <c r="R15" i="12"/>
  <c r="X12" i="12" l="1"/>
  <c r="R13" i="12"/>
  <c r="C12" i="12" l="1"/>
  <c r="Q13" i="12"/>
  <c r="L13" i="12"/>
  <c r="M13" i="12" s="1"/>
  <c r="R16" i="12"/>
  <c r="W13" i="12" l="1"/>
  <c r="P13" i="12"/>
  <c r="O13" i="12"/>
  <c r="N14" i="12" s="1"/>
  <c r="R14" i="12" l="1"/>
  <c r="X13" i="12"/>
  <c r="R17" i="12"/>
  <c r="L14" i="12" l="1"/>
  <c r="M14" i="12" s="1"/>
  <c r="Q14" i="12"/>
  <c r="C13" i="12"/>
  <c r="W14" i="12" l="1"/>
  <c r="P14" i="12"/>
  <c r="O14" i="12"/>
  <c r="N15" i="12" s="1"/>
  <c r="R18" i="12"/>
  <c r="L15" i="12" l="1"/>
  <c r="M15" i="12" s="1"/>
  <c r="Q15" i="12"/>
  <c r="C14" i="12"/>
  <c r="X14" i="12"/>
  <c r="W15" i="12" l="1"/>
  <c r="P15" i="12"/>
  <c r="O15" i="12"/>
  <c r="N16" i="12" s="1"/>
  <c r="R19" i="12"/>
  <c r="L16" i="12" l="1"/>
  <c r="M16" i="12" s="1"/>
  <c r="C15" i="12"/>
  <c r="Q16" i="12"/>
  <c r="X15" i="12"/>
  <c r="S21" i="12"/>
  <c r="W16" i="12" l="1"/>
  <c r="O16" i="12"/>
  <c r="N17" i="12" s="1"/>
  <c r="P16" i="12"/>
  <c r="F38" i="14"/>
  <c r="C38" i="14" s="1"/>
  <c r="F14" i="14"/>
  <c r="C14" i="14" s="1"/>
  <c r="F36" i="14"/>
  <c r="C36" i="14" s="1"/>
  <c r="X16" i="12" l="1"/>
  <c r="Q17" i="12"/>
  <c r="C16" i="12"/>
  <c r="L17" i="12"/>
  <c r="M17" i="12" s="1"/>
  <c r="W17" i="12" l="1"/>
  <c r="P17" i="12"/>
  <c r="O17" i="12"/>
  <c r="N18" i="12" s="1"/>
  <c r="R20" i="12"/>
  <c r="C17" i="12" l="1"/>
  <c r="Q18" i="12"/>
  <c r="L18" i="12"/>
  <c r="M18" i="12" s="1"/>
  <c r="X17" i="12"/>
  <c r="W18" i="12" l="1"/>
  <c r="P18" i="12"/>
  <c r="O18" i="12"/>
  <c r="N19" i="12" s="1"/>
  <c r="C18" i="12" l="1"/>
  <c r="Q19" i="12"/>
  <c r="L19" i="12"/>
  <c r="M19" i="12" s="1"/>
  <c r="X18" i="12"/>
  <c r="W19" i="12" l="1"/>
  <c r="P19" i="12"/>
  <c r="O19" i="12"/>
  <c r="N20" i="12" s="1"/>
  <c r="L20" i="12" l="1"/>
  <c r="M20" i="12" s="1"/>
  <c r="C19" i="12"/>
  <c r="Q20" i="12"/>
  <c r="X19" i="12"/>
  <c r="W20" i="12" l="1"/>
  <c r="P20" i="12"/>
  <c r="O20" i="12"/>
  <c r="N21" i="12" s="1"/>
  <c r="C20" i="12" s="1"/>
  <c r="X20" i="12" l="1"/>
  <c r="C6" i="14" l="1"/>
  <c r="C42" i="14"/>
  <c r="D42" i="14" s="1"/>
  <c r="E42" i="14" s="1"/>
  <c r="C16" i="14"/>
  <c r="C29" i="14"/>
  <c r="C41" i="14"/>
  <c r="C45" i="14"/>
  <c r="D45" i="14" s="1"/>
  <c r="E45" i="14" s="1"/>
  <c r="AG9" i="12" s="1"/>
  <c r="AI10" i="12"/>
  <c r="AH11" i="12"/>
  <c r="C24" i="14"/>
  <c r="D24" i="14" s="1"/>
  <c r="E24" i="14" s="1"/>
  <c r="AE12" i="12" s="1"/>
  <c r="C34" i="14"/>
  <c r="D34" i="14" s="1"/>
  <c r="E34" i="14" s="1"/>
  <c r="AF10" i="12" s="1"/>
  <c r="C40" i="14"/>
  <c r="C35" i="14"/>
  <c r="C18" i="14"/>
  <c r="C12" i="14"/>
  <c r="D12" i="14" s="1"/>
  <c r="E12" i="14" s="1"/>
  <c r="AD12" i="12" s="1"/>
  <c r="C19" i="14"/>
  <c r="D19" i="14" s="1"/>
  <c r="E19" i="14" s="1"/>
  <c r="C11" i="14"/>
  <c r="D11" i="14" s="1"/>
  <c r="E11" i="14" s="1"/>
  <c r="AD11" i="12" s="1"/>
  <c r="C3" i="14"/>
  <c r="D3" i="14" s="1"/>
  <c r="E3" i="14" s="1"/>
  <c r="C28" i="14"/>
  <c r="D28" i="14" s="1"/>
  <c r="E28" i="14" s="1"/>
  <c r="AI4" i="12"/>
  <c r="AH13" i="12"/>
  <c r="C17" i="14"/>
  <c r="C7" i="14"/>
  <c r="D7" i="14" s="1"/>
  <c r="E7" i="14" s="1"/>
  <c r="C5" i="14"/>
  <c r="C46" i="14"/>
  <c r="D46" i="14" s="1"/>
  <c r="C22" i="14"/>
  <c r="C30" i="14"/>
  <c r="D38" i="14"/>
  <c r="E38" i="14" s="1"/>
  <c r="AF14" i="12" s="1"/>
  <c r="AI14" i="12"/>
  <c r="AH10" i="12"/>
  <c r="AH14" i="12"/>
  <c r="AG14" i="12"/>
  <c r="AD7" i="12" l="1"/>
  <c r="AH6" i="12"/>
  <c r="AH4" i="12"/>
  <c r="AG13" i="12"/>
  <c r="E15" i="14"/>
  <c r="D15" i="14"/>
  <c r="D31" i="14"/>
  <c r="E31" i="14" s="1"/>
  <c r="D36" i="14"/>
  <c r="E36" i="14" s="1"/>
  <c r="AF12" i="12" s="1"/>
  <c r="E8" i="14"/>
  <c r="AD8" i="12" s="1"/>
  <c r="D8" i="14"/>
  <c r="D6" i="14"/>
  <c r="E6" i="14" s="1"/>
  <c r="E4" i="14"/>
  <c r="D4" i="14"/>
  <c r="D37" i="14"/>
  <c r="E37" i="14" s="1"/>
  <c r="AF13" i="12" s="1"/>
  <c r="E25" i="14"/>
  <c r="AE13" i="12" s="1"/>
  <c r="D25" i="14"/>
  <c r="D16" i="14"/>
  <c r="E16" i="14" s="1"/>
  <c r="D27" i="14"/>
  <c r="E27" i="14" s="1"/>
  <c r="E9" i="14"/>
  <c r="D9" i="14"/>
  <c r="D13" i="14"/>
  <c r="E13" i="14" s="1"/>
  <c r="AD13" i="12" s="1"/>
  <c r="D22" i="14"/>
  <c r="E22" i="14" s="1"/>
  <c r="AE10" i="12" s="1"/>
  <c r="D30" i="14"/>
  <c r="E30" i="14" s="1"/>
  <c r="D33" i="14"/>
  <c r="E33" i="14" s="1"/>
  <c r="AF9" i="12" s="1"/>
  <c r="D21" i="14"/>
  <c r="E21" i="14"/>
  <c r="AE9" i="12" s="1"/>
  <c r="D26" i="14"/>
  <c r="E26" i="14" s="1"/>
  <c r="AE14" i="12" s="1"/>
  <c r="D17" i="14"/>
  <c r="E17" i="14" s="1"/>
  <c r="D5" i="14"/>
  <c r="E5" i="14" s="1"/>
  <c r="D18" i="14"/>
  <c r="E18" i="14" s="1"/>
  <c r="AE6" i="12" s="1"/>
  <c r="D14" i="14"/>
  <c r="E14" i="14" s="1"/>
  <c r="AD14" i="12" s="1"/>
  <c r="E20" i="14"/>
  <c r="D20" i="14"/>
  <c r="E10" i="14"/>
  <c r="AD10" i="12" s="1"/>
  <c r="D10" i="14"/>
  <c r="D29" i="14"/>
  <c r="E29" i="14" s="1"/>
  <c r="AF5" i="12" s="1"/>
  <c r="D35" i="14"/>
  <c r="E35" i="14" s="1"/>
  <c r="AF11" i="12" s="1"/>
  <c r="D23" i="14"/>
  <c r="E23" i="14" s="1"/>
  <c r="AE11" i="12" s="1"/>
  <c r="AI8" i="12"/>
  <c r="AH8" i="12"/>
  <c r="D41" i="14"/>
  <c r="E41" i="14" s="1"/>
  <c r="E39" i="14"/>
  <c r="AG3" i="12" s="1"/>
  <c r="D39" i="14"/>
  <c r="E46" i="14"/>
  <c r="AG10" i="12" s="1"/>
  <c r="D44" i="14"/>
  <c r="E44" i="14" s="1"/>
  <c r="AG8" i="12" s="1"/>
  <c r="AH7" i="12"/>
  <c r="AH12" i="12"/>
  <c r="AG12" i="12"/>
  <c r="AI5" i="12"/>
  <c r="AI13" i="12"/>
  <c r="AI6" i="12"/>
  <c r="AI12" i="12"/>
  <c r="AI3" i="12"/>
  <c r="D40" i="14"/>
  <c r="E40" i="14" s="1"/>
  <c r="AG4" i="12" s="1"/>
  <c r="AG11" i="12"/>
  <c r="AI9" i="12"/>
  <c r="AH9" i="12"/>
  <c r="E43" i="14"/>
  <c r="AG7" i="12" s="1"/>
  <c r="D43" i="14"/>
  <c r="AI7" i="12"/>
  <c r="AI11" i="12"/>
  <c r="AH5" i="12"/>
  <c r="AD6" i="12" l="1"/>
  <c r="AF7" i="12"/>
  <c r="AE8" i="12"/>
  <c r="AE7" i="12"/>
  <c r="AE4" i="12"/>
  <c r="AE3" i="12"/>
  <c r="AD5" i="12"/>
  <c r="AD9" i="12"/>
  <c r="AF3" i="12"/>
  <c r="AD3" i="12"/>
  <c r="AE5" i="12"/>
  <c r="AD4" i="12"/>
  <c r="AG6" i="12"/>
  <c r="AH3" i="12"/>
  <c r="AG5" i="12"/>
  <c r="AF6" i="12"/>
  <c r="AF4" i="12"/>
  <c r="C32" i="14"/>
  <c r="D32" i="14" s="1"/>
  <c r="E32" i="14" s="1"/>
  <c r="AF8" i="12" s="1"/>
  <c r="O21" i="12"/>
  <c r="AD19" i="12" l="1"/>
  <c r="AI21" i="12"/>
  <c r="AH21" i="12" s="1"/>
  <c r="AF21" i="12"/>
  <c r="AI20" i="12"/>
  <c r="AH20" i="12" s="1"/>
  <c r="AE20" i="12"/>
  <c r="AC21" i="12"/>
  <c r="AF18" i="12"/>
  <c r="AD23" i="12"/>
  <c r="AI18" i="12"/>
  <c r="AH18" i="12" s="1"/>
  <c r="AF20" i="12"/>
  <c r="AC22" i="12"/>
  <c r="AF23" i="12"/>
  <c r="AE23" i="12"/>
  <c r="AD21" i="12"/>
  <c r="AD20" i="12"/>
  <c r="AD18" i="12"/>
  <c r="AI23" i="12"/>
  <c r="AH23" i="12" s="1"/>
  <c r="AE19" i="12"/>
  <c r="AC19" i="12"/>
  <c r="AF22" i="12"/>
  <c r="AC23" i="12"/>
  <c r="AE18" i="12"/>
  <c r="AD22" i="12"/>
  <c r="AE22" i="12"/>
  <c r="AE21" i="12"/>
  <c r="AI22" i="12"/>
  <c r="AH22" i="12" s="1"/>
  <c r="AC18" i="12"/>
  <c r="AF19" i="12"/>
  <c r="AC20" i="12"/>
  <c r="AI19" i="12"/>
  <c r="AH19" i="12" s="1"/>
  <c r="AG19" i="12" l="1"/>
  <c r="AG22" i="12"/>
  <c r="AC24" i="12"/>
  <c r="AG18" i="12"/>
  <c r="AG21" i="12"/>
  <c r="AG23" i="12"/>
  <c r="AG20" i="12"/>
</calcChain>
</file>

<file path=xl/comments1.xml><?xml version="1.0" encoding="utf-8"?>
<comments xmlns="http://schemas.openxmlformats.org/spreadsheetml/2006/main">
  <authors>
    <author>Katrin Lorenz-Baath</author>
  </authors>
  <commentList>
    <comment ref="E1" authorId="0">
      <text>
        <r>
          <rPr>
            <b/>
            <sz val="9"/>
            <color indexed="81"/>
            <rFont val="Tahoma"/>
            <family val="2"/>
          </rPr>
          <t>Katrin Lorenz-Baath: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<sst xmlns="http://schemas.openxmlformats.org/spreadsheetml/2006/main" count="260" uniqueCount="128">
  <si>
    <t>Endzeit</t>
  </si>
  <si>
    <t>Dämmerungzeit</t>
  </si>
  <si>
    <t>Start Farsta</t>
  </si>
  <si>
    <t xml:space="preserve">Short Easy </t>
  </si>
  <si>
    <t>Short Difficult</t>
  </si>
  <si>
    <t>Long Easy</t>
  </si>
  <si>
    <t>Long Difficult</t>
  </si>
  <si>
    <t>Short Twilight</t>
  </si>
  <si>
    <t>Long Twilight</t>
  </si>
  <si>
    <t>SF</t>
  </si>
  <si>
    <t>SE</t>
  </si>
  <si>
    <t>SD</t>
  </si>
  <si>
    <t>LE</t>
  </si>
  <si>
    <t>LD</t>
  </si>
  <si>
    <t>ST</t>
  </si>
  <si>
    <t>LT</t>
  </si>
  <si>
    <t>SEN</t>
  </si>
  <si>
    <t>SDN</t>
  </si>
  <si>
    <t>LEN</t>
  </si>
  <si>
    <t>LDN</t>
  </si>
  <si>
    <t>FF</t>
  </si>
  <si>
    <t>Min h</t>
  </si>
  <si>
    <t>Max h</t>
  </si>
  <si>
    <t>A</t>
  </si>
  <si>
    <t>B</t>
  </si>
  <si>
    <t>C</t>
  </si>
  <si>
    <t>D</t>
  </si>
  <si>
    <t>E</t>
  </si>
  <si>
    <t>F</t>
  </si>
  <si>
    <t>#</t>
  </si>
  <si>
    <t>Type</t>
  </si>
  <si>
    <t>Läufer</t>
  </si>
  <si>
    <t>Bahn</t>
  </si>
  <si>
    <t>Schwierigkeit</t>
  </si>
  <si>
    <t>Differenz</t>
  </si>
  <si>
    <t>Code</t>
  </si>
  <si>
    <t>Start</t>
  </si>
  <si>
    <t>Laufzeit</t>
  </si>
  <si>
    <t>Faktor</t>
  </si>
  <si>
    <t>Startzeit</t>
  </si>
  <si>
    <t>Lauf</t>
  </si>
  <si>
    <t>Dämmerung</t>
  </si>
  <si>
    <t>Pause</t>
  </si>
  <si>
    <t>Km</t>
  </si>
  <si>
    <t>Hm</t>
  </si>
  <si>
    <t>ClimbFaktor</t>
  </si>
  <si>
    <t>Run</t>
  </si>
  <si>
    <t>LKm</t>
  </si>
  <si>
    <t>Müde</t>
  </si>
  <si>
    <t>Total</t>
  </si>
  <si>
    <t>BahnKz</t>
  </si>
  <si>
    <t>Kz</t>
  </si>
  <si>
    <t>Faktoren</t>
  </si>
  <si>
    <t>Zeiten</t>
  </si>
  <si>
    <t>IST-Werte</t>
  </si>
  <si>
    <t>Normiert</t>
  </si>
  <si>
    <t>Runs</t>
  </si>
  <si>
    <t>used</t>
  </si>
  <si>
    <t>Lmax</t>
  </si>
  <si>
    <t>Lmin</t>
  </si>
  <si>
    <t>Uhrzeit</t>
  </si>
  <si>
    <t>Dauer</t>
  </si>
  <si>
    <t>Licht-Faktor</t>
  </si>
  <si>
    <t>Sollzeiten ohne Faktoren</t>
  </si>
  <si>
    <t>Zeit-Parameter</t>
  </si>
  <si>
    <t>Leistungskilometer-Faktor</t>
  </si>
  <si>
    <t>Bahnen-Faktor</t>
  </si>
  <si>
    <t>Ermüdungsgeschw.</t>
  </si>
  <si>
    <t>Ermüdungs-Faktor</t>
  </si>
  <si>
    <t>Position</t>
  </si>
  <si>
    <t>Kürzel</t>
  </si>
  <si>
    <t>Name</t>
  </si>
  <si>
    <t>Teilnehmer</t>
  </si>
  <si>
    <t>NumPos</t>
  </si>
  <si>
    <t>Pace</t>
  </si>
  <si>
    <t>N Pace</t>
  </si>
  <si>
    <t>Licht</t>
  </si>
  <si>
    <t>ExponentBasis</t>
  </si>
  <si>
    <t>Dämmerungszeit</t>
  </si>
  <si>
    <t>Zielzeit</t>
  </si>
  <si>
    <t>Bahn-Läufer</t>
  </si>
  <si>
    <t>Anzahl</t>
  </si>
  <si>
    <t>Pace min / LKm</t>
  </si>
  <si>
    <t>SOLL</t>
  </si>
  <si>
    <t>IST</t>
  </si>
  <si>
    <t>Zeit</t>
  </si>
  <si>
    <t>durchschn. Laufzeit/Bahn</t>
  </si>
  <si>
    <t>Ges.-Diff.</t>
  </si>
  <si>
    <t>Pace-Diff.</t>
  </si>
  <si>
    <t>Ist</t>
  </si>
  <si>
    <t>Basis</t>
  </si>
  <si>
    <t>Ermüdungsfaktor = (24h + (Lauf # - 1) * Erm_Geschw * ExponentBasis^(Lauf # - 1) ) / 24h</t>
  </si>
  <si>
    <t>Durchschn.-Zeit</t>
  </si>
  <si>
    <t>Summe</t>
  </si>
  <si>
    <t>SVerweis</t>
  </si>
  <si>
    <t>Lexen, Johanna</t>
  </si>
  <si>
    <t>LJ</t>
  </si>
  <si>
    <t>BO</t>
  </si>
  <si>
    <t>Baath, Ole</t>
  </si>
  <si>
    <t>Irrlinger, Kilian</t>
  </si>
  <si>
    <t>Mörtl, Simone</t>
  </si>
  <si>
    <t>Lexen, Laura</t>
  </si>
  <si>
    <t>Lexen, Laetitia</t>
  </si>
  <si>
    <t>IK</t>
  </si>
  <si>
    <t>MS</t>
  </si>
  <si>
    <t>Typ</t>
  </si>
  <si>
    <t>SE1</t>
  </si>
  <si>
    <t>SE2</t>
  </si>
  <si>
    <t>SE3</t>
  </si>
  <si>
    <t>SE4</t>
  </si>
  <si>
    <t>SD1</t>
  </si>
  <si>
    <t>SD2</t>
  </si>
  <si>
    <t>SD3</t>
  </si>
  <si>
    <t>SD4</t>
  </si>
  <si>
    <t>LE1</t>
  </si>
  <si>
    <t>LE2</t>
  </si>
  <si>
    <t>LE3</t>
  </si>
  <si>
    <t>LE4</t>
  </si>
  <si>
    <t>LD1</t>
  </si>
  <si>
    <t>LD2</t>
  </si>
  <si>
    <t>LD3</t>
  </si>
  <si>
    <t xml:space="preserve">Long Easy </t>
  </si>
  <si>
    <t>LL</t>
  </si>
  <si>
    <t>Lkm</t>
  </si>
  <si>
    <t>SF1</t>
  </si>
  <si>
    <t>ST1</t>
  </si>
  <si>
    <t>LT1</t>
  </si>
  <si>
    <t>Sollzeit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</si>
</sst>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[h]:mm:ss;@"/>
    <numFmt numFmtId="166" formatCode="[m]:ss;@"/>
    <numFmt numFmtId="167" formatCode="[$-F400]h:mm:ss\ AM/PM"/>
    <numFmt numFmtId="168" formatCode="h:mm:ss;@"/>
    <numFmt numFmtId="169" formatCode="[m]:ss;&quot;-&quot;\ [m]:ss;&quot;-&quot;\ [m]:ss;@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3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0" fontId="0" fillId="2" borderId="0" xfId="0" applyFill="1"/>
    <xf numFmtId="21" fontId="3" fillId="2" borderId="1" xfId="0" applyNumberFormat="1" applyFont="1" applyFill="1" applyBorder="1" applyAlignment="1">
      <alignment wrapText="1"/>
    </xf>
    <xf numFmtId="0" fontId="0" fillId="0" borderId="1" xfId="0" applyFill="1" applyBorder="1"/>
    <xf numFmtId="2" fontId="0" fillId="2" borderId="1" xfId="0" applyNumberFormat="1" applyFill="1" applyBorder="1"/>
    <xf numFmtId="0" fontId="0" fillId="0" borderId="0" xfId="0" applyBorder="1"/>
    <xf numFmtId="0" fontId="2" fillId="0" borderId="0" xfId="0" applyFont="1"/>
    <xf numFmtId="0" fontId="2" fillId="0" borderId="1" xfId="0" applyFont="1" applyFill="1" applyBorder="1"/>
    <xf numFmtId="0" fontId="2" fillId="2" borderId="8" xfId="0" applyFont="1" applyFill="1" applyBorder="1"/>
    <xf numFmtId="0" fontId="0" fillId="0" borderId="9" xfId="0" applyBorder="1"/>
    <xf numFmtId="21" fontId="0" fillId="2" borderId="8" xfId="0" applyNumberFormat="1" applyFill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2" borderId="8" xfId="0" applyFont="1" applyFill="1" applyBorder="1"/>
    <xf numFmtId="0" fontId="0" fillId="0" borderId="11" xfId="0" applyNumberFormat="1" applyBorder="1"/>
    <xf numFmtId="0" fontId="0" fillId="0" borderId="12" xfId="0" applyNumberFormat="1" applyBorder="1"/>
    <xf numFmtId="0" fontId="2" fillId="0" borderId="10" xfId="0" applyFont="1" applyFill="1" applyBorder="1"/>
    <xf numFmtId="21" fontId="3" fillId="0" borderId="1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1" xfId="1" applyNumberFormat="1" applyFont="1" applyBorder="1"/>
    <xf numFmtId="0" fontId="3" fillId="0" borderId="0" xfId="0" applyFont="1" applyBorder="1" applyAlignment="1"/>
    <xf numFmtId="0" fontId="3" fillId="0" borderId="13" xfId="0" applyFont="1" applyBorder="1" applyAlignment="1"/>
    <xf numFmtId="0" fontId="2" fillId="0" borderId="13" xfId="0" applyFont="1" applyBorder="1" applyAlignment="1">
      <alignment horizontal="center"/>
    </xf>
    <xf numFmtId="2" fontId="0" fillId="4" borderId="1" xfId="0" applyNumberFormat="1" applyFill="1" applyBorder="1"/>
    <xf numFmtId="2" fontId="0" fillId="4" borderId="14" xfId="0" applyNumberFormat="1" applyFill="1" applyBorder="1"/>
    <xf numFmtId="21" fontId="0" fillId="4" borderId="1" xfId="0" applyNumberFormat="1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0" fillId="6" borderId="1" xfId="0" applyFill="1" applyBorder="1"/>
    <xf numFmtId="21" fontId="3" fillId="6" borderId="1" xfId="0" applyNumberFormat="1" applyFont="1" applyFill="1" applyBorder="1" applyAlignment="1">
      <alignment wrapText="1"/>
    </xf>
    <xf numFmtId="0" fontId="0" fillId="6" borderId="14" xfId="0" applyFill="1" applyBorder="1"/>
    <xf numFmtId="0" fontId="6" fillId="0" borderId="1" xfId="0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167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right" vertical="center"/>
    </xf>
    <xf numFmtId="168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21" fontId="2" fillId="3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169" fontId="0" fillId="0" borderId="1" xfId="0" applyNumberFormat="1" applyFill="1" applyBorder="1" applyAlignment="1">
      <alignment horizontal="right" vertical="center" wrapText="1"/>
    </xf>
    <xf numFmtId="165" fontId="0" fillId="3" borderId="1" xfId="0" applyNumberFormat="1" applyFill="1" applyBorder="1" applyAlignment="1">
      <alignment vertical="center" wrapText="1"/>
    </xf>
    <xf numFmtId="165" fontId="0" fillId="0" borderId="0" xfId="0" applyNumberFormat="1" applyFill="1" applyAlignment="1">
      <alignment vertical="center" wrapText="1"/>
    </xf>
    <xf numFmtId="21" fontId="3" fillId="0" borderId="0" xfId="0" applyNumberFormat="1" applyFont="1" applyFill="1" applyBorder="1" applyAlignment="1">
      <alignment vertical="center" wrapText="1"/>
    </xf>
    <xf numFmtId="21" fontId="0" fillId="0" borderId="0" xfId="0" applyNumberFormat="1" applyAlignment="1">
      <alignment vertical="center"/>
    </xf>
    <xf numFmtId="165" fontId="0" fillId="0" borderId="0" xfId="0" applyNumberFormat="1" applyFill="1" applyAlignment="1">
      <alignment vertical="center"/>
    </xf>
    <xf numFmtId="168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2" fontId="0" fillId="0" borderId="0" xfId="0" applyNumberFormat="1" applyFill="1" applyAlignment="1">
      <alignment vertical="center"/>
    </xf>
    <xf numFmtId="167" fontId="0" fillId="0" borderId="0" xfId="0" applyNumberFormat="1" applyFill="1" applyAlignment="1">
      <alignment vertical="center"/>
    </xf>
    <xf numFmtId="166" fontId="0" fillId="0" borderId="0" xfId="0" applyNumberFormat="1" applyFill="1" applyAlignment="1">
      <alignment horizontal="center" vertical="center"/>
    </xf>
    <xf numFmtId="169" fontId="0" fillId="0" borderId="0" xfId="0" applyNumberFormat="1" applyFill="1" applyAlignment="1">
      <alignment horizontal="right" vertical="center"/>
    </xf>
    <xf numFmtId="168" fontId="0" fillId="0" borderId="0" xfId="0" applyNumberFormat="1" applyFill="1" applyAlignment="1">
      <alignment vertical="center"/>
    </xf>
    <xf numFmtId="167" fontId="3" fillId="0" borderId="1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165" fontId="0" fillId="2" borderId="1" xfId="0" applyNumberFormat="1" applyFill="1" applyBorder="1" applyAlignment="1">
      <alignment wrapText="1"/>
    </xf>
    <xf numFmtId="166" fontId="0" fillId="6" borderId="1" xfId="0" applyNumberFormat="1" applyFill="1" applyBorder="1" applyAlignment="1">
      <alignment wrapText="1"/>
    </xf>
    <xf numFmtId="0" fontId="2" fillId="2" borderId="0" xfId="0" applyFont="1" applyFill="1"/>
    <xf numFmtId="0" fontId="2" fillId="2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7" borderId="0" xfId="0" applyFill="1"/>
    <xf numFmtId="0" fontId="5" fillId="7" borderId="0" xfId="0" applyFont="1" applyFill="1"/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/>
    <xf numFmtId="165" fontId="0" fillId="2" borderId="0" xfId="0" applyNumberFormat="1" applyFill="1"/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2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165" fontId="3" fillId="5" borderId="1" xfId="0" applyNumberFormat="1" applyFont="1" applyFill="1" applyBorder="1" applyAlignment="1">
      <alignment vertical="center" wrapText="1"/>
    </xf>
    <xf numFmtId="0" fontId="2" fillId="5" borderId="1" xfId="0" quotePrefix="1" applyFont="1" applyFill="1" applyBorder="1" applyAlignment="1">
      <alignment vertical="center"/>
    </xf>
    <xf numFmtId="21" fontId="3" fillId="5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vertical="center" wrapText="1"/>
    </xf>
    <xf numFmtId="166" fontId="3" fillId="5" borderId="1" xfId="0" applyNumberFormat="1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46" fontId="2" fillId="5" borderId="1" xfId="0" applyNumberFormat="1" applyFont="1" applyFill="1" applyBorder="1" applyAlignment="1">
      <alignment vertical="center"/>
    </xf>
    <xf numFmtId="165" fontId="3" fillId="5" borderId="8" xfId="0" applyNumberFormat="1" applyFont="1" applyFill="1" applyBorder="1" applyAlignment="1">
      <alignment vertical="center" wrapText="1"/>
    </xf>
    <xf numFmtId="165" fontId="3" fillId="5" borderId="14" xfId="0" applyNumberFormat="1" applyFont="1" applyFill="1" applyBorder="1" applyAlignment="1">
      <alignment vertical="center" wrapText="1"/>
    </xf>
    <xf numFmtId="165" fontId="3" fillId="5" borderId="15" xfId="0" applyNumberFormat="1" applyFont="1" applyFill="1" applyBorder="1" applyAlignment="1">
      <alignment vertical="center" wrapText="1"/>
    </xf>
    <xf numFmtId="165" fontId="3" fillId="5" borderId="16" xfId="0" applyNumberFormat="1" applyFont="1" applyFill="1" applyBorder="1" applyAlignment="1">
      <alignment vertical="center" wrapText="1"/>
    </xf>
    <xf numFmtId="165" fontId="3" fillId="5" borderId="17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6" fontId="0" fillId="0" borderId="0" xfId="0" applyNumberFormat="1" applyFill="1" applyBorder="1" applyAlignment="1">
      <alignment horizontal="center" vertical="center" wrapText="1"/>
    </xf>
    <xf numFmtId="169" fontId="0" fillId="0" borderId="0" xfId="0" applyNumberFormat="1" applyFill="1" applyBorder="1" applyAlignment="1">
      <alignment horizontal="right" vertical="center" wrapText="1"/>
    </xf>
    <xf numFmtId="168" fontId="0" fillId="0" borderId="0" xfId="0" applyNumberForma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horizontal="right" vertical="center"/>
    </xf>
    <xf numFmtId="168" fontId="6" fillId="0" borderId="1" xfId="0" applyNumberFormat="1" applyFont="1" applyFill="1" applyBorder="1" applyAlignment="1">
      <alignment horizontal="center" vertical="center"/>
    </xf>
    <xf numFmtId="164" fontId="0" fillId="6" borderId="1" xfId="0" applyNumberFormat="1" applyFill="1" applyBorder="1"/>
    <xf numFmtId="0" fontId="2" fillId="5" borderId="21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6" borderId="1" xfId="0" applyFont="1" applyFill="1" applyBorder="1" applyAlignment="1">
      <alignment horizontal="center" wrapText="1"/>
    </xf>
    <xf numFmtId="2" fontId="0" fillId="6" borderId="1" xfId="1" applyNumberFormat="1" applyFont="1" applyFill="1" applyBorder="1"/>
    <xf numFmtId="0" fontId="3" fillId="6" borderId="1" xfId="0" applyFont="1" applyFill="1" applyBorder="1"/>
    <xf numFmtId="1" fontId="3" fillId="5" borderId="1" xfId="0" applyNumberFormat="1" applyFont="1" applyFill="1" applyBorder="1" applyAlignment="1">
      <alignment vertical="center" wrapText="1"/>
    </xf>
    <xf numFmtId="165" fontId="3" fillId="5" borderId="22" xfId="0" applyNumberFormat="1" applyFont="1" applyFill="1" applyBorder="1" applyAlignment="1">
      <alignment vertical="center" wrapText="1"/>
    </xf>
    <xf numFmtId="165" fontId="3" fillId="5" borderId="21" xfId="0" applyNumberFormat="1" applyFont="1" applyFill="1" applyBorder="1" applyAlignment="1">
      <alignment vertical="center" wrapText="1"/>
    </xf>
    <xf numFmtId="165" fontId="3" fillId="5" borderId="23" xfId="0" applyNumberFormat="1" applyFont="1" applyFill="1" applyBorder="1" applyAlignment="1">
      <alignment vertical="center" wrapText="1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0" fillId="4" borderId="0" xfId="0" applyFill="1"/>
    <xf numFmtId="165" fontId="0" fillId="4" borderId="0" xfId="0" applyNumberFormat="1" applyFill="1"/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7" borderId="0" xfId="0" applyNumberFormat="1" applyFont="1" applyFill="1" applyAlignment="1">
      <alignment horizontal="center"/>
    </xf>
  </cellXfs>
  <cellStyles count="2">
    <cellStyle name="Prozent" xfId="1" builtinId="5"/>
    <cellStyle name="Standard" xfId="0" builtinId="0"/>
  </cellStyles>
  <dxfs count="15">
    <dxf>
      <fill>
        <patternFill>
          <bgColor rgb="FFFE8CF6"/>
        </patternFill>
      </fill>
    </dxf>
    <dxf>
      <fill>
        <patternFill>
          <bgColor rgb="FFFE8CF6"/>
        </patternFill>
      </fill>
    </dxf>
    <dxf>
      <fill>
        <patternFill>
          <bgColor indexed="47"/>
        </patternFill>
      </fill>
    </dxf>
    <dxf>
      <fill>
        <patternFill>
          <bgColor rgb="FFFE8CF6"/>
        </patternFill>
      </fill>
    </dxf>
    <dxf>
      <fill>
        <patternFill>
          <bgColor indexed="47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rgb="FFFE8CF6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E8CF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E8CF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mruColors>
      <color rgb="FF99FF99"/>
      <color rgb="FFFE8C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030183727034119E-2"/>
          <c:y val="2.8252405949256341E-2"/>
          <c:w val="0.79874715660542439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Parameters!$D$13</c:f>
              <c:strCache>
                <c:ptCount val="1"/>
                <c:pt idx="0">
                  <c:v>LJ</c:v>
                </c:pt>
              </c:strCache>
            </c:strRef>
          </c:tx>
          <c:cat>
            <c:strRef>
              <c:f>Parameters!$B$14:$B$20</c:f>
              <c:strCache>
                <c:ptCount val="7"/>
                <c:pt idx="0">
                  <c:v>SF</c:v>
                </c:pt>
                <c:pt idx="1">
                  <c:v>SE</c:v>
                </c:pt>
                <c:pt idx="2">
                  <c:v>SD</c:v>
                </c:pt>
                <c:pt idx="3">
                  <c:v>LE</c:v>
                </c:pt>
                <c:pt idx="4">
                  <c:v>LD</c:v>
                </c:pt>
                <c:pt idx="5">
                  <c:v>ST</c:v>
                </c:pt>
                <c:pt idx="6">
                  <c:v>LT</c:v>
                </c:pt>
              </c:strCache>
            </c:strRef>
          </c:cat>
          <c:val>
            <c:numRef>
              <c:f>Parameters!$D$14:$D$20</c:f>
              <c:numCache>
                <c:formatCode>0.00</c:formatCode>
                <c:ptCount val="7"/>
                <c:pt idx="0">
                  <c:v>1</c:v>
                </c:pt>
                <c:pt idx="1">
                  <c:v>0.8</c:v>
                </c:pt>
                <c:pt idx="2">
                  <c:v>1</c:v>
                </c:pt>
                <c:pt idx="3">
                  <c:v>1</c:v>
                </c:pt>
                <c:pt idx="4">
                  <c:v>1.05</c:v>
                </c:pt>
                <c:pt idx="5">
                  <c:v>0.8</c:v>
                </c:pt>
                <c:pt idx="6">
                  <c:v>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Parameters!$E$13</c:f>
              <c:strCache>
                <c:ptCount val="1"/>
                <c:pt idx="0">
                  <c:v>BO</c:v>
                </c:pt>
              </c:strCache>
            </c:strRef>
          </c:tx>
          <c:cat>
            <c:strRef>
              <c:f>Parameters!$B$14:$B$20</c:f>
              <c:strCache>
                <c:ptCount val="7"/>
                <c:pt idx="0">
                  <c:v>SF</c:v>
                </c:pt>
                <c:pt idx="1">
                  <c:v>SE</c:v>
                </c:pt>
                <c:pt idx="2">
                  <c:v>SD</c:v>
                </c:pt>
                <c:pt idx="3">
                  <c:v>LE</c:v>
                </c:pt>
                <c:pt idx="4">
                  <c:v>LD</c:v>
                </c:pt>
                <c:pt idx="5">
                  <c:v>ST</c:v>
                </c:pt>
                <c:pt idx="6">
                  <c:v>LT</c:v>
                </c:pt>
              </c:strCache>
            </c:strRef>
          </c:cat>
          <c:val>
            <c:numRef>
              <c:f>Parameters!$E$14:$E$20</c:f>
              <c:numCache>
                <c:formatCode>0.00</c:formatCode>
                <c:ptCount val="7"/>
                <c:pt idx="0">
                  <c:v>1.05</c:v>
                </c:pt>
                <c:pt idx="1">
                  <c:v>0.95</c:v>
                </c:pt>
                <c:pt idx="2">
                  <c:v>1.1000000000000001</c:v>
                </c:pt>
                <c:pt idx="3">
                  <c:v>1.2</c:v>
                </c:pt>
                <c:pt idx="4">
                  <c:v>1.3</c:v>
                </c:pt>
                <c:pt idx="5">
                  <c:v>0.95</c:v>
                </c:pt>
                <c:pt idx="6">
                  <c:v>1.1000000000000001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Parameters!$F$13</c:f>
              <c:strCache>
                <c:ptCount val="1"/>
                <c:pt idx="0">
                  <c:v>IK</c:v>
                </c:pt>
              </c:strCache>
            </c:strRef>
          </c:tx>
          <c:cat>
            <c:strRef>
              <c:f>Parameters!$B$14:$B$20</c:f>
              <c:strCache>
                <c:ptCount val="7"/>
                <c:pt idx="0">
                  <c:v>SF</c:v>
                </c:pt>
                <c:pt idx="1">
                  <c:v>SE</c:v>
                </c:pt>
                <c:pt idx="2">
                  <c:v>SD</c:v>
                </c:pt>
                <c:pt idx="3">
                  <c:v>LE</c:v>
                </c:pt>
                <c:pt idx="4">
                  <c:v>LD</c:v>
                </c:pt>
                <c:pt idx="5">
                  <c:v>ST</c:v>
                </c:pt>
                <c:pt idx="6">
                  <c:v>LT</c:v>
                </c:pt>
              </c:strCache>
            </c:strRef>
          </c:cat>
          <c:val>
            <c:numRef>
              <c:f>Parameters!$F$14:$F$20</c:f>
              <c:numCache>
                <c:formatCode>0.00</c:formatCode>
                <c:ptCount val="7"/>
                <c:pt idx="0">
                  <c:v>1</c:v>
                </c:pt>
                <c:pt idx="1">
                  <c:v>0.9</c:v>
                </c:pt>
                <c:pt idx="2">
                  <c:v>1.05</c:v>
                </c:pt>
                <c:pt idx="3">
                  <c:v>1.1000000000000001</c:v>
                </c:pt>
                <c:pt idx="4">
                  <c:v>1.2</c:v>
                </c:pt>
                <c:pt idx="5">
                  <c:v>0.95</c:v>
                </c:pt>
                <c:pt idx="6">
                  <c:v>1.1000000000000001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Parameters!$G$13</c:f>
              <c:strCache>
                <c:ptCount val="1"/>
                <c:pt idx="0">
                  <c:v>MS</c:v>
                </c:pt>
              </c:strCache>
            </c:strRef>
          </c:tx>
          <c:cat>
            <c:strRef>
              <c:f>Parameters!$B$14:$B$20</c:f>
              <c:strCache>
                <c:ptCount val="7"/>
                <c:pt idx="0">
                  <c:v>SF</c:v>
                </c:pt>
                <c:pt idx="1">
                  <c:v>SE</c:v>
                </c:pt>
                <c:pt idx="2">
                  <c:v>SD</c:v>
                </c:pt>
                <c:pt idx="3">
                  <c:v>LE</c:v>
                </c:pt>
                <c:pt idx="4">
                  <c:v>LD</c:v>
                </c:pt>
                <c:pt idx="5">
                  <c:v>ST</c:v>
                </c:pt>
                <c:pt idx="6">
                  <c:v>LT</c:v>
                </c:pt>
              </c:strCache>
            </c:strRef>
          </c:cat>
          <c:val>
            <c:numRef>
              <c:f>Parameters!$G$14:$G$20</c:f>
              <c:numCache>
                <c:formatCode>0.00</c:formatCode>
                <c:ptCount val="7"/>
                <c:pt idx="0">
                  <c:v>1</c:v>
                </c:pt>
                <c:pt idx="1">
                  <c:v>0.95</c:v>
                </c:pt>
                <c:pt idx="2">
                  <c:v>1.05</c:v>
                </c:pt>
                <c:pt idx="3">
                  <c:v>1.1000000000000001</c:v>
                </c:pt>
                <c:pt idx="4">
                  <c:v>1.3</c:v>
                </c:pt>
                <c:pt idx="5">
                  <c:v>1</c:v>
                </c:pt>
                <c:pt idx="6">
                  <c:v>1.2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Parameters!$H$13</c:f>
              <c:strCache>
                <c:ptCount val="1"/>
                <c:pt idx="0">
                  <c:v>LL</c:v>
                </c:pt>
              </c:strCache>
            </c:strRef>
          </c:tx>
          <c:cat>
            <c:strRef>
              <c:f>Parameters!$B$14:$B$20</c:f>
              <c:strCache>
                <c:ptCount val="7"/>
                <c:pt idx="0">
                  <c:v>SF</c:v>
                </c:pt>
                <c:pt idx="1">
                  <c:v>SE</c:v>
                </c:pt>
                <c:pt idx="2">
                  <c:v>SD</c:v>
                </c:pt>
                <c:pt idx="3">
                  <c:v>LE</c:v>
                </c:pt>
                <c:pt idx="4">
                  <c:v>LD</c:v>
                </c:pt>
                <c:pt idx="5">
                  <c:v>ST</c:v>
                </c:pt>
                <c:pt idx="6">
                  <c:v>LT</c:v>
                </c:pt>
              </c:strCache>
            </c:strRef>
          </c:cat>
          <c:val>
            <c:numRef>
              <c:f>Parameters!$H$14:$H$20</c:f>
              <c:numCache>
                <c:formatCode>0.00</c:formatCode>
                <c:ptCount val="7"/>
                <c:pt idx="0">
                  <c:v>1</c:v>
                </c:pt>
                <c:pt idx="1">
                  <c:v>0.95</c:v>
                </c:pt>
                <c:pt idx="2">
                  <c:v>1.05</c:v>
                </c:pt>
                <c:pt idx="3">
                  <c:v>1.2</c:v>
                </c:pt>
                <c:pt idx="4">
                  <c:v>1.3</c:v>
                </c:pt>
                <c:pt idx="5">
                  <c:v>1</c:v>
                </c:pt>
                <c:pt idx="6">
                  <c:v>1.2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Parameters!$I$13</c:f>
              <c:strCache>
                <c:ptCount val="1"/>
                <c:pt idx="0">
                  <c:v>LT</c:v>
                </c:pt>
              </c:strCache>
            </c:strRef>
          </c:tx>
          <c:cat>
            <c:strRef>
              <c:f>Parameters!$B$14:$B$20</c:f>
              <c:strCache>
                <c:ptCount val="7"/>
                <c:pt idx="0">
                  <c:v>SF</c:v>
                </c:pt>
                <c:pt idx="1">
                  <c:v>SE</c:v>
                </c:pt>
                <c:pt idx="2">
                  <c:v>SD</c:v>
                </c:pt>
                <c:pt idx="3">
                  <c:v>LE</c:v>
                </c:pt>
                <c:pt idx="4">
                  <c:v>LD</c:v>
                </c:pt>
                <c:pt idx="5">
                  <c:v>ST</c:v>
                </c:pt>
                <c:pt idx="6">
                  <c:v>LT</c:v>
                </c:pt>
              </c:strCache>
            </c:strRef>
          </c:cat>
          <c:val>
            <c:numRef>
              <c:f>Parameters!$I$14:$I$20</c:f>
              <c:numCache>
                <c:formatCode>0.00</c:formatCode>
                <c:ptCount val="7"/>
                <c:pt idx="0">
                  <c:v>1</c:v>
                </c:pt>
                <c:pt idx="1">
                  <c:v>0.95</c:v>
                </c:pt>
                <c:pt idx="2">
                  <c:v>1.05</c:v>
                </c:pt>
                <c:pt idx="3">
                  <c:v>1.2</c:v>
                </c:pt>
                <c:pt idx="4">
                  <c:v>1.3</c:v>
                </c:pt>
                <c:pt idx="5">
                  <c:v>1</c:v>
                </c:pt>
                <c:pt idx="6">
                  <c:v>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213248"/>
        <c:axId val="458214784"/>
      </c:lineChart>
      <c:catAx>
        <c:axId val="458213248"/>
        <c:scaling>
          <c:orientation val="minMax"/>
        </c:scaling>
        <c:delete val="0"/>
        <c:axPos val="b"/>
        <c:majorTickMark val="out"/>
        <c:minorTickMark val="none"/>
        <c:tickLblPos val="nextTo"/>
        <c:crossAx val="458214784"/>
        <c:crosses val="autoZero"/>
        <c:auto val="1"/>
        <c:lblAlgn val="ctr"/>
        <c:lblOffset val="100"/>
        <c:noMultiLvlLbl val="0"/>
      </c:catAx>
      <c:valAx>
        <c:axId val="458214784"/>
        <c:scaling>
          <c:orientation val="minMax"/>
          <c:max val="1.5"/>
          <c:min val="0.70000000000000007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458213248"/>
        <c:crosses val="autoZero"/>
        <c:crossBetween val="between"/>
        <c:majorUnit val="0.1"/>
        <c:minorUnit val="2.0000000000000004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02405949256337E-2"/>
          <c:y val="5.9213413453684638E-2"/>
          <c:w val="0.76223359580052508"/>
          <c:h val="0.80717782375734437"/>
        </c:manualLayout>
      </c:layout>
      <c:lineChart>
        <c:grouping val="standard"/>
        <c:varyColors val="0"/>
        <c:ser>
          <c:idx val="1"/>
          <c:order val="0"/>
          <c:tx>
            <c:strRef>
              <c:f>Parameters!$D$50</c:f>
              <c:strCache>
                <c:ptCount val="1"/>
                <c:pt idx="0">
                  <c:v>LJ</c:v>
                </c:pt>
              </c:strCache>
            </c:strRef>
          </c:tx>
          <c:val>
            <c:numRef>
              <c:f>Parameters!$D$51:$D$57</c:f>
              <c:numCache>
                <c:formatCode>0.00</c:formatCode>
                <c:ptCount val="7"/>
                <c:pt idx="0">
                  <c:v>1</c:v>
                </c:pt>
                <c:pt idx="1">
                  <c:v>1.0331349999999999</c:v>
                </c:pt>
                <c:pt idx="2">
                  <c:v>1.0622938</c:v>
                </c:pt>
                <c:pt idx="3">
                  <c:v>1.087834258</c:v>
                </c:pt>
                <c:pt idx="4">
                  <c:v>1.11008560336</c:v>
                </c:pt>
                <c:pt idx="5">
                  <c:v>1.129350583948</c:v>
                </c:pt>
                <c:pt idx="6">
                  <c:v>1.145907458693344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Parameters!$E$50</c:f>
              <c:strCache>
                <c:ptCount val="1"/>
                <c:pt idx="0">
                  <c:v>BO</c:v>
                </c:pt>
              </c:strCache>
            </c:strRef>
          </c:tx>
          <c:val>
            <c:numRef>
              <c:f>Parameters!$E$51:$E$57</c:f>
              <c:numCache>
                <c:formatCode>0.00</c:formatCode>
                <c:ptCount val="7"/>
                <c:pt idx="0">
                  <c:v>1</c:v>
                </c:pt>
                <c:pt idx="1">
                  <c:v>1.0357239583333333</c:v>
                </c:pt>
                <c:pt idx="2">
                  <c:v>1.0678755208333333</c:v>
                </c:pt>
                <c:pt idx="3">
                  <c:v>1.0967226171875</c:v>
                </c:pt>
                <c:pt idx="4">
                  <c:v>1.1225153151041667</c:v>
                </c:pt>
                <c:pt idx="5">
                  <c:v>1.1454869366861979</c:v>
                </c:pt>
                <c:pt idx="6">
                  <c:v>1.1658551078222656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Parameters!$F$50</c:f>
              <c:strCache>
                <c:ptCount val="1"/>
                <c:pt idx="0">
                  <c:v>IK</c:v>
                </c:pt>
              </c:strCache>
            </c:strRef>
          </c:tx>
          <c:val>
            <c:numRef>
              <c:f>Parameters!$F$51:$F$57</c:f>
              <c:numCache>
                <c:formatCode>0.00</c:formatCode>
                <c:ptCount val="7"/>
                <c:pt idx="0">
                  <c:v>1</c:v>
                </c:pt>
                <c:pt idx="1">
                  <c:v>1.0342395</c:v>
                </c:pt>
                <c:pt idx="2">
                  <c:v>1.06437026</c:v>
                </c:pt>
                <c:pt idx="3">
                  <c:v>1.0907620666</c:v>
                </c:pt>
                <c:pt idx="4">
                  <c:v>1.113755123472</c:v>
                </c:pt>
                <c:pt idx="5">
                  <c:v>1.1336622700796</c:v>
                </c:pt>
                <c:pt idx="6">
                  <c:v>1.1507710406497889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Parameters!$G$50</c:f>
              <c:strCache>
                <c:ptCount val="1"/>
                <c:pt idx="0">
                  <c:v>MS</c:v>
                </c:pt>
              </c:strCache>
            </c:strRef>
          </c:tx>
          <c:val>
            <c:numRef>
              <c:f>Parameters!$G$51:$G$57</c:f>
              <c:numCache>
                <c:formatCode>0.00</c:formatCode>
                <c:ptCount val="7"/>
                <c:pt idx="0">
                  <c:v>1</c:v>
                </c:pt>
                <c:pt idx="1">
                  <c:v>1.0345958333333334</c:v>
                </c:pt>
                <c:pt idx="2">
                  <c:v>1.0657320833333335</c:v>
                </c:pt>
                <c:pt idx="3">
                  <c:v>1.09366821875</c:v>
                </c:pt>
                <c:pt idx="4">
                  <c:v>1.1186464104166667</c:v>
                </c:pt>
                <c:pt idx="5">
                  <c:v>1.1408926123697916</c:v>
                </c:pt>
                <c:pt idx="6">
                  <c:v>1.1606175781015626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Parameters!$H$50</c:f>
              <c:strCache>
                <c:ptCount val="1"/>
                <c:pt idx="0">
                  <c:v>LL</c:v>
                </c:pt>
              </c:strCache>
            </c:strRef>
          </c:tx>
          <c:val>
            <c:numRef>
              <c:f>Parameters!$H$51:$H$57</c:f>
              <c:numCache>
                <c:formatCode>0.00</c:formatCode>
                <c:ptCount val="7"/>
                <c:pt idx="0">
                  <c:v>1</c:v>
                </c:pt>
                <c:pt idx="1">
                  <c:v>1.0364800000000001</c:v>
                </c:pt>
                <c:pt idx="2">
                  <c:v>1.0700415999999999</c:v>
                </c:pt>
                <c:pt idx="3">
                  <c:v>1.100859904</c:v>
                </c:pt>
                <c:pt idx="4">
                  <c:v>1.1291006771200001</c:v>
                </c:pt>
                <c:pt idx="5">
                  <c:v>1.154920812544</c:v>
                </c:pt>
                <c:pt idx="6">
                  <c:v>1.178468776050688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Parameters!$I$50</c:f>
              <c:strCache>
                <c:ptCount val="1"/>
                <c:pt idx="0">
                  <c:v>LT</c:v>
                </c:pt>
              </c:strCache>
            </c:strRef>
          </c:tx>
          <c:val>
            <c:numRef>
              <c:f>Parameters!$I$51:$I$57</c:f>
              <c:numCache>
                <c:formatCode>0.00</c:formatCode>
                <c:ptCount val="7"/>
                <c:pt idx="0">
                  <c:v>1</c:v>
                </c:pt>
                <c:pt idx="1">
                  <c:v>1.0380280416666667</c:v>
                </c:pt>
                <c:pt idx="2">
                  <c:v>1.0737744008333332</c:v>
                </c:pt>
                <c:pt idx="3">
                  <c:v>1.1073417532125001</c:v>
                </c:pt>
                <c:pt idx="4">
                  <c:v>1.1388286674881667</c:v>
                </c:pt>
                <c:pt idx="5">
                  <c:v>1.168329759329402</c:v>
                </c:pt>
                <c:pt idx="6">
                  <c:v>1.195935839859424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876928"/>
        <c:axId val="410886912"/>
      </c:lineChart>
      <c:catAx>
        <c:axId val="410876928"/>
        <c:scaling>
          <c:orientation val="minMax"/>
        </c:scaling>
        <c:delete val="0"/>
        <c:axPos val="b"/>
        <c:majorTickMark val="out"/>
        <c:minorTickMark val="none"/>
        <c:tickLblPos val="nextTo"/>
        <c:crossAx val="410886912"/>
        <c:crosses val="autoZero"/>
        <c:auto val="1"/>
        <c:lblAlgn val="ctr"/>
        <c:lblOffset val="100"/>
        <c:noMultiLvlLbl val="0"/>
      </c:catAx>
      <c:valAx>
        <c:axId val="410886912"/>
        <c:scaling>
          <c:orientation val="minMax"/>
          <c:max val="1.2"/>
          <c:min val="1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410876928"/>
        <c:crosses val="autoZero"/>
        <c:crossBetween val="between"/>
        <c:majorUnit val="5.000000000000001E-2"/>
        <c:minorUnit val="1.0000000000000002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1</xdr:row>
      <xdr:rowOff>85725</xdr:rowOff>
    </xdr:from>
    <xdr:to>
      <xdr:col>17</xdr:col>
      <xdr:colOff>133350</xdr:colOff>
      <xdr:row>20</xdr:row>
      <xdr:rowOff>76200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428625</xdr:colOff>
      <xdr:row>44</xdr:row>
      <xdr:rowOff>38099</xdr:rowOff>
    </xdr:from>
    <xdr:to>
      <xdr:col>17</xdr:col>
      <xdr:colOff>123825</xdr:colOff>
      <xdr:row>57</xdr:row>
      <xdr:rowOff>142875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8"/>
  <sheetViews>
    <sheetView workbookViewId="0">
      <selection activeCell="J15" sqref="J15"/>
    </sheetView>
  </sheetViews>
  <sheetFormatPr baseColWidth="10" defaultColWidth="9.140625" defaultRowHeight="12.75" x14ac:dyDescent="0.2"/>
  <cols>
    <col min="1" max="1" width="1.85546875" customWidth="1"/>
    <col min="2" max="2" width="18.85546875" bestFit="1" customWidth="1"/>
    <col min="3" max="3" width="10.140625" bestFit="1" customWidth="1"/>
    <col min="4" max="4" width="24.5703125" customWidth="1"/>
    <col min="5" max="5" width="9" bestFit="1" customWidth="1"/>
    <col min="6" max="6" width="6.5703125" bestFit="1" customWidth="1"/>
    <col min="7" max="7" width="5.5703125" bestFit="1" customWidth="1"/>
    <col min="8" max="9" width="5.140625" bestFit="1" customWidth="1"/>
  </cols>
  <sheetData>
    <row r="1" spans="2:9" ht="4.5" customHeight="1" thickBot="1" x14ac:dyDescent="0.25"/>
    <row r="2" spans="2:9" ht="26.25" x14ac:dyDescent="0.4">
      <c r="B2" s="144" t="s">
        <v>72</v>
      </c>
      <c r="C2" s="145"/>
      <c r="D2" s="145"/>
      <c r="E2" s="145"/>
      <c r="F2" s="145"/>
      <c r="G2" s="145"/>
      <c r="H2" s="145"/>
      <c r="I2" s="146"/>
    </row>
    <row r="3" spans="2:9" x14ac:dyDescent="0.2">
      <c r="B3" s="12" t="s">
        <v>69</v>
      </c>
      <c r="C3" s="1" t="s">
        <v>73</v>
      </c>
      <c r="D3" s="1" t="s">
        <v>71</v>
      </c>
      <c r="E3" s="1" t="s">
        <v>70</v>
      </c>
      <c r="F3" s="1" t="s">
        <v>74</v>
      </c>
      <c r="G3" s="9"/>
      <c r="H3" s="9"/>
      <c r="I3" s="13"/>
    </row>
    <row r="4" spans="2:9" x14ac:dyDescent="0.2">
      <c r="B4" s="33" t="s">
        <v>23</v>
      </c>
      <c r="C4" s="32">
        <f>CODE(B4)-64</f>
        <v>1</v>
      </c>
      <c r="D4" s="34" t="s">
        <v>95</v>
      </c>
      <c r="E4" s="124" t="s">
        <v>96</v>
      </c>
      <c r="F4" s="74">
        <v>5.9027777777777776E-3</v>
      </c>
      <c r="G4" s="9"/>
      <c r="H4" s="9"/>
      <c r="I4" s="13"/>
    </row>
    <row r="5" spans="2:9" x14ac:dyDescent="0.2">
      <c r="B5" s="33" t="s">
        <v>24</v>
      </c>
      <c r="C5" s="32">
        <f t="shared" ref="C5:C9" si="0">CODE(B5)-64</f>
        <v>2</v>
      </c>
      <c r="D5" s="34" t="s">
        <v>98</v>
      </c>
      <c r="E5" s="124" t="s">
        <v>97</v>
      </c>
      <c r="F5" s="74">
        <v>6.5972222222222222E-3</v>
      </c>
      <c r="G5" s="9"/>
      <c r="H5" s="9"/>
      <c r="I5" s="13"/>
    </row>
    <row r="6" spans="2:9" x14ac:dyDescent="0.2">
      <c r="B6" s="33" t="s">
        <v>25</v>
      </c>
      <c r="C6" s="32">
        <f t="shared" si="0"/>
        <v>3</v>
      </c>
      <c r="D6" s="34" t="s">
        <v>99</v>
      </c>
      <c r="E6" s="124" t="s">
        <v>103</v>
      </c>
      <c r="F6" s="74">
        <v>6.2499999999999995E-3</v>
      </c>
      <c r="G6" s="9"/>
      <c r="H6" s="9"/>
      <c r="I6" s="13"/>
    </row>
    <row r="7" spans="2:9" x14ac:dyDescent="0.2">
      <c r="B7" s="33" t="s">
        <v>26</v>
      </c>
      <c r="C7" s="32">
        <f t="shared" si="0"/>
        <v>4</v>
      </c>
      <c r="D7" s="34" t="s">
        <v>100</v>
      </c>
      <c r="E7" s="124" t="s">
        <v>104</v>
      </c>
      <c r="F7" s="74">
        <v>6.5972222222222222E-3</v>
      </c>
      <c r="G7" s="9"/>
      <c r="H7" s="9"/>
      <c r="I7" s="13"/>
    </row>
    <row r="8" spans="2:9" x14ac:dyDescent="0.2">
      <c r="B8" s="33" t="s">
        <v>27</v>
      </c>
      <c r="C8" s="32">
        <f t="shared" si="0"/>
        <v>5</v>
      </c>
      <c r="D8" s="34" t="s">
        <v>101</v>
      </c>
      <c r="E8" s="124" t="s">
        <v>122</v>
      </c>
      <c r="F8" s="74">
        <v>6.9444444444444441E-3</v>
      </c>
      <c r="G8" s="9"/>
      <c r="H8" s="9"/>
      <c r="I8" s="13"/>
    </row>
    <row r="9" spans="2:9" x14ac:dyDescent="0.2">
      <c r="B9" s="33" t="s">
        <v>28</v>
      </c>
      <c r="C9" s="32">
        <f t="shared" si="0"/>
        <v>6</v>
      </c>
      <c r="D9" s="34" t="s">
        <v>102</v>
      </c>
      <c r="E9" s="124" t="s">
        <v>15</v>
      </c>
      <c r="F9" s="74">
        <v>7.2916666666666659E-3</v>
      </c>
      <c r="G9" s="9"/>
      <c r="H9" s="9"/>
      <c r="I9" s="13"/>
    </row>
    <row r="10" spans="2:9" ht="13.5" thickBot="1" x14ac:dyDescent="0.25">
      <c r="B10" s="15"/>
      <c r="C10" s="16"/>
      <c r="D10" s="16"/>
      <c r="E10" s="16"/>
      <c r="F10" s="16"/>
      <c r="G10" s="16"/>
      <c r="H10" s="16"/>
      <c r="I10" s="17"/>
    </row>
    <row r="11" spans="2:9" ht="4.5" customHeight="1" thickBot="1" x14ac:dyDescent="0.25"/>
    <row r="12" spans="2:9" ht="26.25" x14ac:dyDescent="0.4">
      <c r="B12" s="144" t="s">
        <v>66</v>
      </c>
      <c r="C12" s="145"/>
      <c r="D12" s="145"/>
      <c r="E12" s="145"/>
      <c r="F12" s="145"/>
      <c r="G12" s="145"/>
      <c r="H12" s="145"/>
      <c r="I12" s="146"/>
    </row>
    <row r="13" spans="2:9" s="10" customFormat="1" x14ac:dyDescent="0.2">
      <c r="B13" s="12" t="s">
        <v>32</v>
      </c>
      <c r="C13" s="1" t="s">
        <v>90</v>
      </c>
      <c r="D13" s="23" t="str">
        <f>$E$4</f>
        <v>LJ</v>
      </c>
      <c r="E13" s="23" t="str">
        <f>$E$5</f>
        <v>BO</v>
      </c>
      <c r="F13" s="23" t="str">
        <f>$E$6</f>
        <v>IK</v>
      </c>
      <c r="G13" s="23" t="str">
        <f>$E$7</f>
        <v>MS</v>
      </c>
      <c r="H13" s="23" t="str">
        <f>$E$8</f>
        <v>LL</v>
      </c>
      <c r="I13" s="24" t="str">
        <f>$E$9</f>
        <v>LT</v>
      </c>
    </row>
    <row r="14" spans="2:9" ht="12.75" customHeight="1" x14ac:dyDescent="0.2">
      <c r="B14" s="18" t="s">
        <v>9</v>
      </c>
      <c r="C14" s="25">
        <v>1</v>
      </c>
      <c r="D14" s="125">
        <v>1</v>
      </c>
      <c r="E14" s="125">
        <v>1.05</v>
      </c>
      <c r="F14" s="125">
        <v>1</v>
      </c>
      <c r="G14" s="125">
        <v>1</v>
      </c>
      <c r="H14" s="125">
        <v>1</v>
      </c>
      <c r="I14" s="125">
        <v>1</v>
      </c>
    </row>
    <row r="15" spans="2:9" ht="12.75" customHeight="1" x14ac:dyDescent="0.2">
      <c r="B15" s="18" t="s">
        <v>10</v>
      </c>
      <c r="C15" s="25">
        <v>0.9</v>
      </c>
      <c r="D15" s="125">
        <v>0.8</v>
      </c>
      <c r="E15" s="125">
        <v>0.95</v>
      </c>
      <c r="F15" s="125">
        <v>0.9</v>
      </c>
      <c r="G15" s="125">
        <v>0.95</v>
      </c>
      <c r="H15" s="125">
        <v>0.95</v>
      </c>
      <c r="I15" s="125">
        <v>0.95</v>
      </c>
    </row>
    <row r="16" spans="2:9" ht="12.75" customHeight="1" x14ac:dyDescent="0.2">
      <c r="B16" s="18" t="s">
        <v>11</v>
      </c>
      <c r="C16" s="25">
        <v>1</v>
      </c>
      <c r="D16" s="125">
        <v>1</v>
      </c>
      <c r="E16" s="125">
        <v>1.1000000000000001</v>
      </c>
      <c r="F16" s="125">
        <v>1.05</v>
      </c>
      <c r="G16" s="125">
        <v>1.05</v>
      </c>
      <c r="H16" s="125">
        <v>1.05</v>
      </c>
      <c r="I16" s="125">
        <v>1.05</v>
      </c>
    </row>
    <row r="17" spans="2:9" ht="12.75" customHeight="1" x14ac:dyDescent="0.2">
      <c r="B17" s="18" t="s">
        <v>12</v>
      </c>
      <c r="C17" s="25">
        <v>1</v>
      </c>
      <c r="D17" s="125">
        <v>1</v>
      </c>
      <c r="E17" s="125">
        <v>1.2</v>
      </c>
      <c r="F17" s="125">
        <v>1.1000000000000001</v>
      </c>
      <c r="G17" s="125">
        <v>1.1000000000000001</v>
      </c>
      <c r="H17" s="125">
        <v>1.2</v>
      </c>
      <c r="I17" s="125">
        <v>1.2</v>
      </c>
    </row>
    <row r="18" spans="2:9" ht="12.75" customHeight="1" x14ac:dyDescent="0.2">
      <c r="B18" s="18" t="s">
        <v>13</v>
      </c>
      <c r="C18" s="25">
        <v>1.05</v>
      </c>
      <c r="D18" s="125">
        <v>1.05</v>
      </c>
      <c r="E18" s="125">
        <v>1.3</v>
      </c>
      <c r="F18" s="125">
        <v>1.2</v>
      </c>
      <c r="G18" s="125">
        <v>1.3</v>
      </c>
      <c r="H18" s="125">
        <v>1.3</v>
      </c>
      <c r="I18" s="125">
        <v>1.3</v>
      </c>
    </row>
    <row r="19" spans="2:9" ht="12.75" customHeight="1" x14ac:dyDescent="0.2">
      <c r="B19" s="18" t="s">
        <v>14</v>
      </c>
      <c r="C19" s="25">
        <v>0.9</v>
      </c>
      <c r="D19" s="125">
        <v>0.8</v>
      </c>
      <c r="E19" s="125">
        <v>0.95</v>
      </c>
      <c r="F19" s="125">
        <v>0.95</v>
      </c>
      <c r="G19" s="125">
        <v>1</v>
      </c>
      <c r="H19" s="125">
        <v>1</v>
      </c>
      <c r="I19" s="125">
        <v>1</v>
      </c>
    </row>
    <row r="20" spans="2:9" ht="12.75" customHeight="1" x14ac:dyDescent="0.2">
      <c r="B20" s="18" t="s">
        <v>15</v>
      </c>
      <c r="C20" s="25">
        <v>1</v>
      </c>
      <c r="D20" s="125">
        <v>0.9</v>
      </c>
      <c r="E20" s="125">
        <v>1.1000000000000001</v>
      </c>
      <c r="F20" s="125">
        <v>1.1000000000000001</v>
      </c>
      <c r="G20" s="125">
        <v>1.2</v>
      </c>
      <c r="H20" s="125">
        <v>1.2</v>
      </c>
      <c r="I20" s="125">
        <v>1.2</v>
      </c>
    </row>
    <row r="21" spans="2:9" ht="13.5" thickBot="1" x14ac:dyDescent="0.25">
      <c r="B21" s="15"/>
      <c r="C21" s="19"/>
      <c r="D21" s="19"/>
      <c r="E21" s="19"/>
      <c r="F21" s="19"/>
      <c r="G21" s="19"/>
      <c r="H21" s="19"/>
      <c r="I21" s="20"/>
    </row>
    <row r="22" spans="2:9" ht="4.5" customHeight="1" thickBot="1" x14ac:dyDescent="0.25">
      <c r="C22" s="9"/>
    </row>
    <row r="23" spans="2:9" ht="26.25" x14ac:dyDescent="0.4">
      <c r="B23" s="144" t="s">
        <v>65</v>
      </c>
      <c r="C23" s="145"/>
      <c r="D23" s="145"/>
      <c r="E23" s="145"/>
      <c r="F23" s="145"/>
      <c r="G23" s="145"/>
      <c r="H23" s="145"/>
      <c r="I23" s="146"/>
    </row>
    <row r="24" spans="2:9" x14ac:dyDescent="0.2">
      <c r="B24" s="18" t="s">
        <v>45</v>
      </c>
      <c r="C24" s="35">
        <v>7</v>
      </c>
      <c r="D24" s="9"/>
      <c r="E24" s="9"/>
      <c r="F24" s="9"/>
      <c r="G24" s="9"/>
      <c r="H24" s="9"/>
      <c r="I24" s="13"/>
    </row>
    <row r="25" spans="2:9" ht="13.5" thickBot="1" x14ac:dyDescent="0.25">
      <c r="B25" s="15"/>
      <c r="C25" s="16"/>
      <c r="D25" s="16"/>
      <c r="E25" s="16"/>
      <c r="F25" s="16"/>
      <c r="G25" s="16"/>
      <c r="H25" s="16"/>
      <c r="I25" s="17"/>
    </row>
    <row r="26" spans="2:9" ht="4.5" customHeight="1" thickBot="1" x14ac:dyDescent="0.25"/>
    <row r="27" spans="2:9" ht="26.25" x14ac:dyDescent="0.4">
      <c r="B27" s="144" t="s">
        <v>64</v>
      </c>
      <c r="C27" s="145"/>
      <c r="D27" s="145"/>
      <c r="E27" s="145"/>
      <c r="F27" s="145"/>
      <c r="G27" s="145"/>
      <c r="H27" s="145"/>
      <c r="I27" s="146"/>
    </row>
    <row r="28" spans="2:9" x14ac:dyDescent="0.2">
      <c r="B28" s="12" t="s">
        <v>39</v>
      </c>
      <c r="C28" s="6">
        <v>1.375</v>
      </c>
      <c r="D28" s="9"/>
      <c r="E28" s="9"/>
      <c r="F28" s="9"/>
      <c r="G28" s="9"/>
      <c r="H28" s="9"/>
      <c r="I28" s="13"/>
    </row>
    <row r="29" spans="2:9" x14ac:dyDescent="0.2">
      <c r="B29" s="12" t="s">
        <v>41</v>
      </c>
      <c r="C29" s="36">
        <v>0.45833333333333331</v>
      </c>
      <c r="D29" s="9"/>
      <c r="E29" s="9"/>
      <c r="F29" s="9"/>
      <c r="G29" s="9"/>
      <c r="H29" s="9"/>
      <c r="I29" s="13"/>
    </row>
    <row r="30" spans="2:9" x14ac:dyDescent="0.2">
      <c r="B30" s="12" t="s">
        <v>1</v>
      </c>
      <c r="C30" s="6">
        <f>C28+C29</f>
        <v>1.8333333333333333</v>
      </c>
      <c r="D30" s="9"/>
      <c r="E30" s="9"/>
      <c r="F30" s="9"/>
      <c r="G30" s="9"/>
      <c r="H30" s="9"/>
      <c r="I30" s="13"/>
    </row>
    <row r="31" spans="2:9" x14ac:dyDescent="0.2">
      <c r="B31" s="12" t="s">
        <v>37</v>
      </c>
      <c r="C31" s="36">
        <v>0.5</v>
      </c>
      <c r="D31" s="9"/>
      <c r="E31" s="9"/>
      <c r="F31" s="9"/>
      <c r="G31" s="9"/>
      <c r="H31" s="9"/>
      <c r="I31" s="13"/>
    </row>
    <row r="32" spans="2:9" x14ac:dyDescent="0.2">
      <c r="B32" s="12" t="s">
        <v>0</v>
      </c>
      <c r="C32" s="6">
        <f>C28+C31</f>
        <v>1.875</v>
      </c>
      <c r="D32" s="9"/>
      <c r="E32" s="9"/>
      <c r="F32" s="9"/>
      <c r="G32" s="9"/>
      <c r="H32" s="9"/>
      <c r="I32" s="13"/>
    </row>
    <row r="33" spans="2:9" ht="13.5" thickBot="1" x14ac:dyDescent="0.25">
      <c r="B33" s="21"/>
      <c r="C33" s="22"/>
      <c r="D33" s="16"/>
      <c r="E33" s="16"/>
      <c r="F33" s="16"/>
      <c r="G33" s="16"/>
      <c r="H33" s="16"/>
      <c r="I33" s="17"/>
    </row>
    <row r="34" spans="2:9" ht="4.5" customHeight="1" thickBot="1" x14ac:dyDescent="0.25"/>
    <row r="35" spans="2:9" ht="26.25" x14ac:dyDescent="0.4">
      <c r="B35" s="144" t="s">
        <v>62</v>
      </c>
      <c r="C35" s="145"/>
      <c r="D35" s="145"/>
      <c r="E35" s="145"/>
      <c r="F35" s="145"/>
      <c r="G35" s="145"/>
      <c r="H35" s="145"/>
      <c r="I35" s="146"/>
    </row>
    <row r="36" spans="2:9" x14ac:dyDescent="0.2">
      <c r="B36" s="12" t="s">
        <v>60</v>
      </c>
      <c r="C36" s="1" t="s">
        <v>37</v>
      </c>
      <c r="D36" s="1" t="s">
        <v>38</v>
      </c>
      <c r="E36" s="1" t="s">
        <v>61</v>
      </c>
      <c r="F36" s="9"/>
      <c r="G36" s="9"/>
      <c r="H36" s="9"/>
      <c r="I36" s="13"/>
    </row>
    <row r="37" spans="2:9" x14ac:dyDescent="0.2">
      <c r="B37" s="14">
        <v>1.375</v>
      </c>
      <c r="C37" s="31">
        <f t="shared" ref="C37:C42" si="1">B37-C$28</f>
        <v>0</v>
      </c>
      <c r="D37" s="35">
        <v>1</v>
      </c>
      <c r="E37" s="31">
        <f>IF(ISNUMBER(B39),B39-B37,1+Startzeit-B37)</f>
        <v>0.47916666666666652</v>
      </c>
      <c r="F37" s="9"/>
      <c r="G37" s="9"/>
      <c r="H37" s="9"/>
      <c r="I37" s="13"/>
    </row>
    <row r="38" spans="2:9" x14ac:dyDescent="0.2">
      <c r="B38" s="14">
        <v>1.8125</v>
      </c>
      <c r="C38" s="31">
        <f t="shared" si="1"/>
        <v>0.4375</v>
      </c>
      <c r="D38" s="35">
        <v>1.02</v>
      </c>
      <c r="E38" s="31">
        <f>IF(ISNUMBER(B39),B39-B38,1+Startzeit-B38)</f>
        <v>4.1666666666666519E-2</v>
      </c>
      <c r="F38" s="9"/>
      <c r="G38" s="9"/>
      <c r="H38" s="9"/>
      <c r="I38" s="13"/>
    </row>
    <row r="39" spans="2:9" x14ac:dyDescent="0.2">
      <c r="B39" s="14">
        <v>1.8541666666666665</v>
      </c>
      <c r="C39" s="31">
        <f t="shared" si="1"/>
        <v>0.47916666666666652</v>
      </c>
      <c r="D39" s="35">
        <v>1.07</v>
      </c>
      <c r="E39" s="31">
        <f>IF(ISNUMBER(B40),B40-B39,1+Startzeit-B39)</f>
        <v>4.1666666666666963E-2</v>
      </c>
      <c r="F39" s="9"/>
      <c r="G39" s="9"/>
      <c r="H39" s="9"/>
      <c r="I39" s="13"/>
    </row>
    <row r="40" spans="2:9" x14ac:dyDescent="0.2">
      <c r="B40" s="14">
        <v>1.8958333333333335</v>
      </c>
      <c r="C40" s="31">
        <f t="shared" si="1"/>
        <v>0.52083333333333348</v>
      </c>
      <c r="D40" s="35">
        <v>1.1200000000000001</v>
      </c>
      <c r="E40" s="31">
        <f>IF(ISNUMBER(B41),B41-B40,1+Startzeit-B40)</f>
        <v>0.29166666666666652</v>
      </c>
      <c r="F40" s="9"/>
      <c r="G40" s="9"/>
      <c r="H40" s="9"/>
      <c r="I40" s="13"/>
    </row>
    <row r="41" spans="2:9" x14ac:dyDescent="0.2">
      <c r="B41" s="14">
        <v>2.1875</v>
      </c>
      <c r="C41" s="31">
        <f t="shared" si="1"/>
        <v>0.8125</v>
      </c>
      <c r="D41" s="35">
        <v>1.06</v>
      </c>
      <c r="E41" s="31">
        <f>IF(ISNUMBER(B42),B42-B41,1+Startzeit-B41)</f>
        <v>4.1666666666666519E-2</v>
      </c>
      <c r="F41" s="9"/>
      <c r="G41" s="9"/>
      <c r="H41" s="9"/>
      <c r="I41" s="13"/>
    </row>
    <row r="42" spans="2:9" x14ac:dyDescent="0.2">
      <c r="B42" s="14">
        <v>2.2291666666666665</v>
      </c>
      <c r="C42" s="31">
        <f t="shared" si="1"/>
        <v>0.85416666666666652</v>
      </c>
      <c r="D42" s="35">
        <v>1</v>
      </c>
      <c r="E42" s="31">
        <f>IF(ISNUMBER(B43),B43-B42,1+Startzeit-B42)</f>
        <v>0.14583333333333348</v>
      </c>
      <c r="F42" s="9"/>
      <c r="G42" s="9"/>
      <c r="H42" s="9"/>
      <c r="I42" s="13"/>
    </row>
    <row r="43" spans="2:9" ht="13.5" thickBot="1" x14ac:dyDescent="0.25">
      <c r="B43" s="15"/>
      <c r="C43" s="16"/>
      <c r="D43" s="16"/>
      <c r="E43" s="16"/>
      <c r="F43" s="16"/>
      <c r="G43" s="16"/>
      <c r="H43" s="16"/>
      <c r="I43" s="17"/>
    </row>
    <row r="44" spans="2:9" ht="4.5" customHeight="1" thickBot="1" x14ac:dyDescent="0.25">
      <c r="B44" s="9"/>
      <c r="C44" s="9"/>
      <c r="D44" s="9"/>
      <c r="E44" s="9"/>
      <c r="F44" s="9"/>
      <c r="G44" s="9"/>
      <c r="H44" s="9"/>
      <c r="I44" s="9"/>
    </row>
    <row r="45" spans="2:9" ht="26.25" x14ac:dyDescent="0.4">
      <c r="B45" s="144" t="s">
        <v>68</v>
      </c>
      <c r="C45" s="145"/>
      <c r="D45" s="145"/>
      <c r="E45" s="145"/>
      <c r="F45" s="145"/>
      <c r="G45" s="145"/>
      <c r="H45" s="145"/>
      <c r="I45" s="146"/>
    </row>
    <row r="46" spans="2:9" x14ac:dyDescent="0.2">
      <c r="B46" s="28"/>
      <c r="C46" s="23" t="s">
        <v>38</v>
      </c>
      <c r="D46" s="23" t="str">
        <f>$E$4</f>
        <v>LJ</v>
      </c>
      <c r="E46" s="23" t="str">
        <f>$E$5</f>
        <v>BO</v>
      </c>
      <c r="F46" s="23" t="str">
        <f>$E$6</f>
        <v>IK</v>
      </c>
      <c r="G46" s="23" t="str">
        <f>$E$7</f>
        <v>MS</v>
      </c>
      <c r="H46" s="23" t="str">
        <f>$E$8</f>
        <v>LL</v>
      </c>
      <c r="I46" s="24" t="str">
        <f>$E$9</f>
        <v>LT</v>
      </c>
    </row>
    <row r="47" spans="2:9" x14ac:dyDescent="0.2">
      <c r="B47" s="12" t="s">
        <v>67</v>
      </c>
      <c r="C47" s="7">
        <v>0.9</v>
      </c>
      <c r="D47" s="35">
        <v>0.9</v>
      </c>
      <c r="E47" s="35">
        <v>0.95</v>
      </c>
      <c r="F47" s="35">
        <v>0.93</v>
      </c>
      <c r="G47" s="35">
        <v>0.92</v>
      </c>
      <c r="H47" s="35">
        <v>0.95</v>
      </c>
      <c r="I47" s="37">
        <v>0.97</v>
      </c>
    </row>
    <row r="48" spans="2:9" x14ac:dyDescent="0.2">
      <c r="B48" s="12" t="s">
        <v>77</v>
      </c>
      <c r="C48" s="7">
        <v>0.93</v>
      </c>
      <c r="D48" s="35">
        <v>0.94</v>
      </c>
      <c r="E48" s="126">
        <v>0.95</v>
      </c>
      <c r="F48" s="35">
        <v>0.94</v>
      </c>
      <c r="G48" s="35">
        <v>0.95</v>
      </c>
      <c r="H48" s="35">
        <v>0.96</v>
      </c>
      <c r="I48" s="37">
        <v>0.97</v>
      </c>
    </row>
    <row r="49" spans="2:9" x14ac:dyDescent="0.2">
      <c r="B49" s="27" t="s">
        <v>91</v>
      </c>
      <c r="C49" s="26"/>
      <c r="D49" s="26"/>
      <c r="E49" s="26"/>
      <c r="F49" s="26"/>
      <c r="G49" s="26"/>
      <c r="H49" s="9"/>
      <c r="I49" s="13"/>
    </row>
    <row r="50" spans="2:9" x14ac:dyDescent="0.2">
      <c r="B50" s="12" t="s">
        <v>40</v>
      </c>
      <c r="C50" s="4" t="s">
        <v>48</v>
      </c>
      <c r="D50" s="23" t="str">
        <f>$E$4</f>
        <v>LJ</v>
      </c>
      <c r="E50" s="23" t="str">
        <f>$E$5</f>
        <v>BO</v>
      </c>
      <c r="F50" s="23" t="str">
        <f>$E$6</f>
        <v>IK</v>
      </c>
      <c r="G50" s="23" t="str">
        <f>$E$7</f>
        <v>MS</v>
      </c>
      <c r="H50" s="23" t="str">
        <f>$E$8</f>
        <v>LL</v>
      </c>
      <c r="I50" s="24" t="str">
        <f>$E$9</f>
        <v>LT</v>
      </c>
    </row>
    <row r="51" spans="2:9" x14ac:dyDescent="0.2">
      <c r="B51" s="18">
        <v>1</v>
      </c>
      <c r="C51" s="29">
        <f>(24+($B51-1)*C$47*POWER(C$48,$B51))/24</f>
        <v>1</v>
      </c>
      <c r="D51" s="29">
        <f t="shared" ref="D51:I51" si="2">(24+($B51-1)*D$47*POWER(D$48,$B51))/24</f>
        <v>1</v>
      </c>
      <c r="E51" s="29">
        <f t="shared" si="2"/>
        <v>1</v>
      </c>
      <c r="F51" s="29">
        <f t="shared" si="2"/>
        <v>1</v>
      </c>
      <c r="G51" s="29">
        <f t="shared" si="2"/>
        <v>1</v>
      </c>
      <c r="H51" s="29">
        <f t="shared" si="2"/>
        <v>1</v>
      </c>
      <c r="I51" s="30">
        <f t="shared" si="2"/>
        <v>1</v>
      </c>
    </row>
    <row r="52" spans="2:9" x14ac:dyDescent="0.2">
      <c r="B52" s="18">
        <v>2</v>
      </c>
      <c r="C52" s="29">
        <f t="shared" ref="C52:I57" si="3">(24+($B52-1)*C$47*POWER(C$48,$B52))/24</f>
        <v>1.03243375</v>
      </c>
      <c r="D52" s="29">
        <f t="shared" si="3"/>
        <v>1.0331349999999999</v>
      </c>
      <c r="E52" s="29">
        <f t="shared" si="3"/>
        <v>1.0357239583333333</v>
      </c>
      <c r="F52" s="29">
        <f t="shared" si="3"/>
        <v>1.0342395</v>
      </c>
      <c r="G52" s="29">
        <f t="shared" si="3"/>
        <v>1.0345958333333334</v>
      </c>
      <c r="H52" s="29">
        <f t="shared" si="3"/>
        <v>1.0364800000000001</v>
      </c>
      <c r="I52" s="30">
        <f t="shared" si="3"/>
        <v>1.0380280416666667</v>
      </c>
    </row>
    <row r="53" spans="2:9" x14ac:dyDescent="0.2">
      <c r="B53" s="18">
        <v>3</v>
      </c>
      <c r="C53" s="29">
        <f t="shared" si="3"/>
        <v>1.0603267750000001</v>
      </c>
      <c r="D53" s="29">
        <f t="shared" si="3"/>
        <v>1.0622938</v>
      </c>
      <c r="E53" s="29">
        <f t="shared" si="3"/>
        <v>1.0678755208333333</v>
      </c>
      <c r="F53" s="29">
        <f t="shared" si="3"/>
        <v>1.06437026</v>
      </c>
      <c r="G53" s="29">
        <f t="shared" si="3"/>
        <v>1.0657320833333335</v>
      </c>
      <c r="H53" s="29">
        <f t="shared" si="3"/>
        <v>1.0700415999999999</v>
      </c>
      <c r="I53" s="30">
        <f t="shared" si="3"/>
        <v>1.0737744008333332</v>
      </c>
    </row>
    <row r="54" spans="2:9" x14ac:dyDescent="0.2">
      <c r="B54" s="18">
        <v>4</v>
      </c>
      <c r="C54" s="29">
        <f t="shared" si="3"/>
        <v>1.084155851125</v>
      </c>
      <c r="D54" s="29">
        <f t="shared" si="3"/>
        <v>1.087834258</v>
      </c>
      <c r="E54" s="29">
        <f t="shared" si="3"/>
        <v>1.0967226171875</v>
      </c>
      <c r="F54" s="29">
        <f t="shared" si="3"/>
        <v>1.0907620666</v>
      </c>
      <c r="G54" s="29">
        <f t="shared" si="3"/>
        <v>1.09366821875</v>
      </c>
      <c r="H54" s="29">
        <f t="shared" si="3"/>
        <v>1.100859904</v>
      </c>
      <c r="I54" s="30">
        <f t="shared" si="3"/>
        <v>1.1073417532125001</v>
      </c>
    </row>
    <row r="55" spans="2:9" x14ac:dyDescent="0.2">
      <c r="B55" s="18">
        <v>5</v>
      </c>
      <c r="C55" s="29">
        <f t="shared" si="3"/>
        <v>1.104353255395</v>
      </c>
      <c r="D55" s="29">
        <f t="shared" si="3"/>
        <v>1.11008560336</v>
      </c>
      <c r="E55" s="29">
        <f t="shared" si="3"/>
        <v>1.1225153151041667</v>
      </c>
      <c r="F55" s="29">
        <f t="shared" si="3"/>
        <v>1.113755123472</v>
      </c>
      <c r="G55" s="29">
        <f t="shared" si="3"/>
        <v>1.1186464104166667</v>
      </c>
      <c r="H55" s="29">
        <f t="shared" si="3"/>
        <v>1.1291006771200001</v>
      </c>
      <c r="I55" s="30">
        <f t="shared" si="3"/>
        <v>1.1388286674881667</v>
      </c>
    </row>
    <row r="56" spans="2:9" x14ac:dyDescent="0.2">
      <c r="B56" s="18">
        <v>6</v>
      </c>
      <c r="C56" s="29">
        <f t="shared" si="3"/>
        <v>1.1213106593966875</v>
      </c>
      <c r="D56" s="29">
        <f t="shared" si="3"/>
        <v>1.129350583948</v>
      </c>
      <c r="E56" s="29">
        <f t="shared" si="3"/>
        <v>1.1454869366861979</v>
      </c>
      <c r="F56" s="29">
        <f t="shared" si="3"/>
        <v>1.1336622700796</v>
      </c>
      <c r="G56" s="29">
        <f t="shared" si="3"/>
        <v>1.1408926123697916</v>
      </c>
      <c r="H56" s="29">
        <f t="shared" si="3"/>
        <v>1.154920812544</v>
      </c>
      <c r="I56" s="30">
        <f t="shared" si="3"/>
        <v>1.168329759329402</v>
      </c>
    </row>
    <row r="57" spans="2:9" x14ac:dyDescent="0.2">
      <c r="B57" s="18">
        <v>7</v>
      </c>
      <c r="C57" s="29">
        <f t="shared" si="3"/>
        <v>1.1353826958867033</v>
      </c>
      <c r="D57" s="29">
        <f t="shared" si="3"/>
        <v>1.145907458693344</v>
      </c>
      <c r="E57" s="29">
        <f t="shared" si="3"/>
        <v>1.1658551078222656</v>
      </c>
      <c r="F57" s="29">
        <f t="shared" si="3"/>
        <v>1.1507710406497889</v>
      </c>
      <c r="G57" s="29">
        <f t="shared" si="3"/>
        <v>1.1606175781015626</v>
      </c>
      <c r="H57" s="29">
        <f t="shared" si="3"/>
        <v>1.178468776050688</v>
      </c>
      <c r="I57" s="30">
        <f t="shared" si="3"/>
        <v>1.195935839859424</v>
      </c>
    </row>
    <row r="58" spans="2:9" ht="13.5" thickBot="1" x14ac:dyDescent="0.25">
      <c r="B58" s="15"/>
      <c r="C58" s="16"/>
      <c r="D58" s="16"/>
      <c r="E58" s="16"/>
      <c r="F58" s="16"/>
      <c r="G58" s="16"/>
      <c r="H58" s="16"/>
      <c r="I58" s="17"/>
    </row>
  </sheetData>
  <mergeCells count="6">
    <mergeCell ref="B2:I2"/>
    <mergeCell ref="B35:I35"/>
    <mergeCell ref="B45:I45"/>
    <mergeCell ref="B23:I23"/>
    <mergeCell ref="B12:I12"/>
    <mergeCell ref="B27:I27"/>
  </mergeCells>
  <phoneticPr fontId="1" type="noConversion"/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89" orientation="portrait" r:id="rId1"/>
  <headerFooter alignWithMargins="0">
    <oddHeader>&amp;C&amp;"Arial,Fett"&amp;24&amp;A</oddHeader>
    <oddFooter>&amp;LErstellt von Valerio Casanova (2009)
Überarbeitet von Veikko Baath&amp;C&amp;D&amp;R&amp;F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1"/>
  <sheetViews>
    <sheetView tabSelected="1" zoomScale="90" zoomScaleNormal="90" workbookViewId="0">
      <pane xSplit="8" ySplit="2" topLeftCell="I3" activePane="bottomRight" state="frozen"/>
      <selection pane="topRight" activeCell="G1" sqref="G1"/>
      <selection pane="bottomLeft" activeCell="A3" sqref="A3"/>
      <selection pane="bottomRight" activeCell="E12" sqref="E12"/>
    </sheetView>
  </sheetViews>
  <sheetFormatPr baseColWidth="10" defaultColWidth="9.140625" defaultRowHeight="12.75" x14ac:dyDescent="0.2"/>
  <cols>
    <col min="1" max="1" width="3" style="64" bestFit="1" customWidth="1"/>
    <col min="2" max="2" width="5.7109375" style="64" bestFit="1" customWidth="1"/>
    <col min="3" max="3" width="15.85546875" style="65" customWidth="1"/>
    <col min="4" max="4" width="4.7109375" style="64" bestFit="1" customWidth="1"/>
    <col min="5" max="5" width="5.7109375" style="64" bestFit="1" customWidth="1"/>
    <col min="6" max="6" width="2.140625" style="142" bestFit="1" customWidth="1"/>
    <col min="7" max="7" width="5.7109375" style="138" customWidth="1"/>
    <col min="8" max="8" width="8.85546875" style="64" hidden="1" customWidth="1"/>
    <col min="9" max="9" width="4.5703125" style="64" bestFit="1" customWidth="1"/>
    <col min="10" max="10" width="6" style="66" bestFit="1" customWidth="1"/>
    <col min="11" max="11" width="5.7109375" style="66" bestFit="1" customWidth="1"/>
    <col min="12" max="13" width="5.5703125" style="66" bestFit="1" customWidth="1"/>
    <col min="14" max="14" width="8.7109375" style="67" bestFit="1" customWidth="1"/>
    <col min="15" max="15" width="9" style="62" customWidth="1"/>
    <col min="16" max="16" width="6" style="62" hidden="1" customWidth="1"/>
    <col min="17" max="17" width="6.85546875" style="68" hidden="1" customWidth="1"/>
    <col min="18" max="18" width="9.140625" style="69" hidden="1" customWidth="1"/>
    <col min="19" max="19" width="9.140625" style="70" hidden="1" customWidth="1"/>
    <col min="20" max="20" width="14.5703125" style="62" customWidth="1"/>
    <col min="21" max="21" width="0.140625" style="66" customWidth="1"/>
    <col min="22" max="22" width="7.140625" style="68" customWidth="1"/>
    <col min="23" max="23" width="9" style="68" bestFit="1" customWidth="1"/>
    <col min="24" max="24" width="9" style="68" customWidth="1"/>
    <col min="25" max="25" width="1.5703125" style="62" customWidth="1"/>
    <col min="26" max="26" width="6.140625" style="50" customWidth="1"/>
    <col min="27" max="27" width="5.7109375" style="50" customWidth="1"/>
    <col min="28" max="28" width="8.85546875" style="50" customWidth="1"/>
    <col min="29" max="31" width="9.140625" style="50" bestFit="1" customWidth="1"/>
    <col min="32" max="35" width="7.5703125" style="50" bestFit="1" customWidth="1"/>
    <col min="36" max="16384" width="9.140625" style="50"/>
  </cols>
  <sheetData>
    <row r="1" spans="1:37" s="40" customFormat="1" ht="18.75" thickBot="1" x14ac:dyDescent="0.25">
      <c r="A1" s="149" t="s">
        <v>31</v>
      </c>
      <c r="B1" s="149"/>
      <c r="C1" s="149"/>
      <c r="D1" s="149"/>
      <c r="E1" s="149" t="s">
        <v>32</v>
      </c>
      <c r="F1" s="149"/>
      <c r="G1" s="149"/>
      <c r="H1" s="149"/>
      <c r="I1" s="38"/>
      <c r="J1" s="147" t="s">
        <v>52</v>
      </c>
      <c r="K1" s="147"/>
      <c r="L1" s="147"/>
      <c r="M1" s="147"/>
      <c r="N1" s="151" t="s">
        <v>53</v>
      </c>
      <c r="O1" s="151"/>
      <c r="P1" s="151"/>
      <c r="Q1" s="151"/>
      <c r="R1" s="118"/>
      <c r="S1" s="119"/>
      <c r="T1" s="150" t="s">
        <v>54</v>
      </c>
      <c r="U1" s="150"/>
      <c r="V1" s="148" t="s">
        <v>82</v>
      </c>
      <c r="W1" s="148"/>
      <c r="X1" s="148"/>
      <c r="Y1" s="39"/>
      <c r="Z1" s="123"/>
      <c r="AA1" s="123"/>
      <c r="AB1" s="123"/>
      <c r="AC1" s="123"/>
      <c r="AD1" s="152" t="s">
        <v>86</v>
      </c>
      <c r="AE1" s="153"/>
      <c r="AF1" s="153"/>
      <c r="AG1" s="153"/>
      <c r="AH1" s="153"/>
      <c r="AI1" s="154"/>
      <c r="AJ1" s="123"/>
      <c r="AK1" s="123"/>
    </row>
    <row r="2" spans="1:37" ht="13.5" thickBot="1" x14ac:dyDescent="0.25">
      <c r="A2" s="41" t="s">
        <v>29</v>
      </c>
      <c r="B2" s="41" t="s">
        <v>35</v>
      </c>
      <c r="C2" s="42" t="s">
        <v>31</v>
      </c>
      <c r="D2" s="41" t="s">
        <v>51</v>
      </c>
      <c r="E2" s="41" t="s">
        <v>105</v>
      </c>
      <c r="F2" s="139" t="s">
        <v>29</v>
      </c>
      <c r="G2" s="136" t="s">
        <v>123</v>
      </c>
      <c r="H2" s="41" t="s">
        <v>50</v>
      </c>
      <c r="I2" s="41" t="s">
        <v>46</v>
      </c>
      <c r="J2" s="43" t="s">
        <v>48</v>
      </c>
      <c r="K2" s="43" t="s">
        <v>32</v>
      </c>
      <c r="L2" s="43" t="s">
        <v>76</v>
      </c>
      <c r="M2" s="43" t="s">
        <v>49</v>
      </c>
      <c r="N2" s="44" t="s">
        <v>39</v>
      </c>
      <c r="O2" s="45" t="s">
        <v>127</v>
      </c>
      <c r="P2" s="45" t="s">
        <v>74</v>
      </c>
      <c r="Q2" s="46" t="s">
        <v>42</v>
      </c>
      <c r="R2" s="47" t="s">
        <v>87</v>
      </c>
      <c r="S2" s="48" t="s">
        <v>36</v>
      </c>
      <c r="T2" s="45" t="s">
        <v>37</v>
      </c>
      <c r="U2" s="43" t="s">
        <v>47</v>
      </c>
      <c r="V2" s="46" t="s">
        <v>89</v>
      </c>
      <c r="W2" s="46" t="s">
        <v>55</v>
      </c>
      <c r="X2" s="46" t="s">
        <v>88</v>
      </c>
      <c r="Y2" s="49"/>
      <c r="Z2" s="155" t="s">
        <v>32</v>
      </c>
      <c r="AA2" s="156"/>
      <c r="AB2" s="121" t="s">
        <v>57</v>
      </c>
      <c r="AC2" s="122" t="s">
        <v>34</v>
      </c>
      <c r="AD2" s="131" t="str">
        <f>Parameters!D13</f>
        <v>LJ</v>
      </c>
      <c r="AE2" s="132" t="str">
        <f>Parameters!E13</f>
        <v>BO</v>
      </c>
      <c r="AF2" s="132" t="str">
        <f>Parameters!F13</f>
        <v>IK</v>
      </c>
      <c r="AG2" s="132" t="str">
        <f>Parameters!G13</f>
        <v>MS</v>
      </c>
      <c r="AH2" s="132" t="str">
        <f>Parameters!H13</f>
        <v>LL</v>
      </c>
      <c r="AI2" s="133" t="str">
        <f>Parameters!I13</f>
        <v>LT</v>
      </c>
    </row>
    <row r="3" spans="1:37" x14ac:dyDescent="0.2">
      <c r="A3" s="51">
        <v>1</v>
      </c>
      <c r="B3" s="53" t="s">
        <v>23</v>
      </c>
      <c r="C3" s="52" t="str">
        <f t="shared" ref="C3:C8" si="0">VLOOKUP(B3,Teilnehmer,3,FALSE)</f>
        <v>Lexen, Johanna</v>
      </c>
      <c r="D3" s="51" t="str">
        <f t="shared" ref="D3:D20" si="1">VLOOKUP(B3,Teilnehmer,4,FALSE)</f>
        <v>LJ</v>
      </c>
      <c r="E3" s="53" t="s">
        <v>9</v>
      </c>
      <c r="F3" s="140">
        <v>1</v>
      </c>
      <c r="G3" s="143">
        <f>VLOOKUP(E3&amp;F3,CoursesBasis!F$2:K$24,6,FALSE)</f>
        <v>5.66</v>
      </c>
      <c r="H3" s="51" t="str">
        <f>E3&amp;F3&amp;D3</f>
        <v>SF1LJ</v>
      </c>
      <c r="I3" s="51">
        <v>1</v>
      </c>
      <c r="J3" s="54">
        <f t="shared" ref="J3:J20" si="2">VLOOKUP(I3,ErmP,2+CODE(B3)-64,FALSE)</f>
        <v>1</v>
      </c>
      <c r="K3" s="54">
        <f t="shared" ref="K3:K20" si="3">VLOOKUP(E3,SchwierigkeitP,2+CODE(B3)-64,FALSE)</f>
        <v>1</v>
      </c>
      <c r="L3" s="54">
        <f>VLOOKUP(N3-Parameters!$C$28,Zeit,2)</f>
        <v>1</v>
      </c>
      <c r="M3" s="55">
        <f t="shared" ref="M3:M20" si="4">J3*K3*L3</f>
        <v>1</v>
      </c>
      <c r="N3" s="71">
        <v>1.375</v>
      </c>
      <c r="O3" s="72">
        <f>VLOOKUP(H3,TimeBasis!A:B,2,FALSE)*M3</f>
        <v>3.3409722222222223E-2</v>
      </c>
      <c r="P3" s="117">
        <f t="shared" ref="P3:P20" si="5">VLOOKUP(D3,Basis,2,FALSE)*M3</f>
        <v>5.9027777777777776E-3</v>
      </c>
      <c r="Q3" s="117"/>
      <c r="R3" s="57" t="str">
        <f>IF(AND(ISNUMBER(S3),ISNUMBER(T3)),IF(S3-N3&gt;0,CONCATENATE(TEXT(S3-N3,"[M]:SS")," +"),CONCATENATE(TEXT(ABS(S3-N3),"[M]:SS")," -")),"")</f>
        <v/>
      </c>
      <c r="S3" s="63">
        <f>Startzeit</f>
        <v>1.375</v>
      </c>
      <c r="T3" s="58"/>
      <c r="U3" s="54">
        <f>G3</f>
        <v>5.66</v>
      </c>
      <c r="V3" s="56" t="str">
        <f t="shared" ref="V3:V20" si="6">IF(AND(T3&gt;0,U3&gt;0),T3/U3,"")</f>
        <v/>
      </c>
      <c r="W3" s="56" t="str">
        <f t="shared" ref="W3:W20" si="7">IF(ISNUMBER(V3),V3/M3,"")</f>
        <v/>
      </c>
      <c r="X3" s="56" t="str">
        <f t="shared" ref="X3:X20" si="8">IF(AND(ISNUMBER(W3),ISNUMBER(P3)),IF(W3-P3&gt;0,CONCATENATE(TEXT(ABS(W3-P3),"[M]:SS")," +"),CONCATENATE(TEXT(ABS(W3-P3),"[M]:SS")," -")),"")</f>
        <v/>
      </c>
      <c r="Y3" s="59"/>
      <c r="Z3" s="87" t="s">
        <v>9</v>
      </c>
      <c r="AA3" s="114">
        <f t="shared" ref="AA3:AA14" si="9">VLOOKUP(Z3,Courses,2,FALSE)</f>
        <v>1</v>
      </c>
      <c r="AB3" s="115">
        <f t="shared" ref="AB3:AB14" si="10">COUNTIF(E:E,Z3)</f>
        <v>1</v>
      </c>
      <c r="AC3" s="116">
        <f t="shared" ref="AC3:AC14" si="11">AB3-VLOOKUP(Z3,Courses,2,FALSE)</f>
        <v>0</v>
      </c>
      <c r="AD3" s="128" t="e">
        <f t="shared" ref="AD3:AI14" si="12">VLOOKUP($Z3&amp;AD$2,TimeBasis,5,FALSE)</f>
        <v>#N/A</v>
      </c>
      <c r="AE3" s="129" t="e">
        <f t="shared" si="12"/>
        <v>#N/A</v>
      </c>
      <c r="AF3" s="129" t="e">
        <f t="shared" si="12"/>
        <v>#N/A</v>
      </c>
      <c r="AG3" s="129" t="e">
        <f t="shared" si="12"/>
        <v>#N/A</v>
      </c>
      <c r="AH3" s="129" t="e">
        <f t="shared" si="12"/>
        <v>#N/A</v>
      </c>
      <c r="AI3" s="130" t="e">
        <f t="shared" si="12"/>
        <v>#N/A</v>
      </c>
    </row>
    <row r="4" spans="1:37" x14ac:dyDescent="0.2">
      <c r="A4" s="51">
        <v>2</v>
      </c>
      <c r="B4" s="53" t="s">
        <v>24</v>
      </c>
      <c r="C4" s="52" t="str">
        <f t="shared" si="0"/>
        <v>Baath, Ole</v>
      </c>
      <c r="D4" s="51" t="str">
        <f t="shared" si="1"/>
        <v>BO</v>
      </c>
      <c r="E4" s="53" t="s">
        <v>10</v>
      </c>
      <c r="F4" s="140">
        <v>1</v>
      </c>
      <c r="G4" s="143">
        <f>VLOOKUP(E4&amp;F4,CoursesBasis!F$2:K$24,6,FALSE)</f>
        <v>3.8849999999999998</v>
      </c>
      <c r="H4" s="51" t="str">
        <f t="shared" ref="H4:H20" si="13">E4&amp;F4&amp;D4</f>
        <v>SE1BO</v>
      </c>
      <c r="I4" s="51">
        <v>1</v>
      </c>
      <c r="J4" s="54">
        <f t="shared" si="2"/>
        <v>1</v>
      </c>
      <c r="K4" s="54">
        <f t="shared" si="3"/>
        <v>0.95</v>
      </c>
      <c r="L4" s="54">
        <f>VLOOKUP(N4-Parameters!$C$28,Zeit,2)</f>
        <v>1</v>
      </c>
      <c r="M4" s="55">
        <f t="shared" si="4"/>
        <v>0.95</v>
      </c>
      <c r="N4" s="71">
        <f t="shared" ref="N4:N21" si="14">IF(NOT(ISBLANK(T3)),N3+T3,IF(AND(UPPER(MID($E4,2,1))="T",N3+O3&lt;Twilight),Twilight,N3+O3))</f>
        <v>1.4084097222222223</v>
      </c>
      <c r="O4" s="72">
        <f>VLOOKUP(H4,TimeBasis!A:B,2,FALSE)*M4</f>
        <v>2.1913828125E-2</v>
      </c>
      <c r="P4" s="117">
        <f t="shared" si="5"/>
        <v>6.2673611111111107E-3</v>
      </c>
      <c r="Q4" s="117" t="str">
        <f>IF(N4-O3-N3&gt;1/24/60/60,N4-O3-N3,"")</f>
        <v/>
      </c>
      <c r="R4" s="57" t="str">
        <f t="shared" ref="R4:R20" si="15">IF(AND(ISNUMBER(S4),ISNUMBER(T4)),IF(S4-N4&gt;0,CONCATENATE(TEXT(S4-N4,"[M]:SS")," +"),CONCATENATE(TEXT(ABS(S4-N4),"[M]:SS")," -")),"")</f>
        <v/>
      </c>
      <c r="S4" s="63">
        <f t="shared" ref="S4:S20" si="16">IF(AND(UPPER(MID($E4,2,1))="T",S3+T3&lt;Twilight),Twilight,S3+T3)</f>
        <v>1.375</v>
      </c>
      <c r="T4" s="58"/>
      <c r="U4" s="54">
        <f t="shared" ref="U4:U20" si="17">G4</f>
        <v>3.8849999999999998</v>
      </c>
      <c r="V4" s="56" t="str">
        <f t="shared" si="6"/>
        <v/>
      </c>
      <c r="W4" s="56" t="str">
        <f t="shared" si="7"/>
        <v/>
      </c>
      <c r="X4" s="56" t="str">
        <f t="shared" si="8"/>
        <v/>
      </c>
      <c r="Y4" s="59"/>
      <c r="Z4" s="87" t="s">
        <v>10</v>
      </c>
      <c r="AA4" s="114">
        <f t="shared" si="9"/>
        <v>4</v>
      </c>
      <c r="AB4" s="115">
        <f t="shared" si="10"/>
        <v>4</v>
      </c>
      <c r="AC4" s="116">
        <f t="shared" si="11"/>
        <v>0</v>
      </c>
      <c r="AD4" s="96" t="str">
        <f t="shared" si="12"/>
        <v/>
      </c>
      <c r="AE4" s="89" t="str">
        <f t="shared" si="12"/>
        <v/>
      </c>
      <c r="AF4" s="89" t="str">
        <f t="shared" si="12"/>
        <v/>
      </c>
      <c r="AG4" s="89" t="e">
        <f t="shared" si="12"/>
        <v>#N/A</v>
      </c>
      <c r="AH4" s="89" t="e">
        <f t="shared" si="12"/>
        <v>#N/A</v>
      </c>
      <c r="AI4" s="97" t="e">
        <f t="shared" si="12"/>
        <v>#N/A</v>
      </c>
    </row>
    <row r="5" spans="1:37" x14ac:dyDescent="0.2">
      <c r="A5" s="51">
        <v>3</v>
      </c>
      <c r="B5" s="53" t="s">
        <v>25</v>
      </c>
      <c r="C5" s="52" t="str">
        <f t="shared" si="0"/>
        <v>Irrlinger, Kilian</v>
      </c>
      <c r="D5" s="51" t="str">
        <f t="shared" si="1"/>
        <v>IK</v>
      </c>
      <c r="E5" s="53" t="s">
        <v>12</v>
      </c>
      <c r="F5" s="140">
        <v>1</v>
      </c>
      <c r="G5" s="143">
        <f>VLOOKUP(E5&amp;F5,CoursesBasis!F$2:K$24,6,FALSE)</f>
        <v>8.2799999999999994</v>
      </c>
      <c r="H5" s="51" t="str">
        <f t="shared" si="13"/>
        <v>LE1IK</v>
      </c>
      <c r="I5" s="51">
        <v>1</v>
      </c>
      <c r="J5" s="54">
        <f t="shared" si="2"/>
        <v>1</v>
      </c>
      <c r="K5" s="54">
        <f t="shared" si="3"/>
        <v>1.1000000000000001</v>
      </c>
      <c r="L5" s="54">
        <f>VLOOKUP(N5-Parameters!$C$28,Zeit,2)</f>
        <v>1</v>
      </c>
      <c r="M5" s="55">
        <f t="shared" si="4"/>
        <v>1.1000000000000001</v>
      </c>
      <c r="N5" s="71">
        <f t="shared" si="14"/>
        <v>1.4303235503472223</v>
      </c>
      <c r="O5" s="72">
        <f>VLOOKUP(H5,TimeBasis!A:B,2,FALSE)*M5</f>
        <v>5.6924999999999996E-2</v>
      </c>
      <c r="P5" s="117">
        <f t="shared" si="5"/>
        <v>6.875E-3</v>
      </c>
      <c r="Q5" s="117" t="str">
        <f t="shared" ref="Q5:Q20" si="18">IF(N5-O4-N4&gt;1/24/60/60,N5-O4-N4,"")</f>
        <v/>
      </c>
      <c r="R5" s="57" t="str">
        <f t="shared" si="15"/>
        <v/>
      </c>
      <c r="S5" s="63">
        <f t="shared" si="16"/>
        <v>1.375</v>
      </c>
      <c r="T5" s="58"/>
      <c r="U5" s="54">
        <f t="shared" si="17"/>
        <v>8.2799999999999994</v>
      </c>
      <c r="V5" s="56" t="str">
        <f t="shared" si="6"/>
        <v/>
      </c>
      <c r="W5" s="56" t="str">
        <f t="shared" si="7"/>
        <v/>
      </c>
      <c r="X5" s="56" t="str">
        <f t="shared" si="8"/>
        <v/>
      </c>
      <c r="Y5" s="59"/>
      <c r="Z5" s="87" t="s">
        <v>11</v>
      </c>
      <c r="AA5" s="114">
        <f t="shared" si="9"/>
        <v>4</v>
      </c>
      <c r="AB5" s="115">
        <f t="shared" si="10"/>
        <v>4</v>
      </c>
      <c r="AC5" s="116">
        <f t="shared" si="11"/>
        <v>0</v>
      </c>
      <c r="AD5" s="96" t="str">
        <f t="shared" si="12"/>
        <v/>
      </c>
      <c r="AE5" s="89" t="str">
        <f t="shared" si="12"/>
        <v/>
      </c>
      <c r="AF5" s="89" t="str">
        <f t="shared" si="12"/>
        <v/>
      </c>
      <c r="AG5" s="89" t="e">
        <f t="shared" si="12"/>
        <v>#N/A</v>
      </c>
      <c r="AH5" s="89" t="e">
        <f t="shared" si="12"/>
        <v>#N/A</v>
      </c>
      <c r="AI5" s="97" t="e">
        <f t="shared" si="12"/>
        <v>#N/A</v>
      </c>
    </row>
    <row r="6" spans="1:37" x14ac:dyDescent="0.2">
      <c r="A6" s="51">
        <v>4</v>
      </c>
      <c r="B6" s="53" t="s">
        <v>26</v>
      </c>
      <c r="C6" s="52" t="str">
        <f t="shared" si="0"/>
        <v>Mörtl, Simone</v>
      </c>
      <c r="D6" s="51" t="str">
        <f t="shared" si="1"/>
        <v>MS</v>
      </c>
      <c r="E6" s="53" t="s">
        <v>12</v>
      </c>
      <c r="F6" s="140">
        <v>3</v>
      </c>
      <c r="G6" s="143">
        <f>VLOOKUP(E6&amp;F6,CoursesBasis!F$2:K$24,6,FALSE)</f>
        <v>8.3450000000000006</v>
      </c>
      <c r="H6" s="51" t="str">
        <f t="shared" si="13"/>
        <v>LE3MS</v>
      </c>
      <c r="I6" s="51">
        <v>1</v>
      </c>
      <c r="J6" s="54">
        <f t="shared" si="2"/>
        <v>1</v>
      </c>
      <c r="K6" s="54">
        <f t="shared" si="3"/>
        <v>1.1000000000000001</v>
      </c>
      <c r="L6" s="54">
        <f>VLOOKUP(N6-Parameters!$C$28,Zeit,2)</f>
        <v>1</v>
      </c>
      <c r="M6" s="55">
        <f t="shared" si="4"/>
        <v>1.1000000000000001</v>
      </c>
      <c r="N6" s="71">
        <f t="shared" si="14"/>
        <v>1.4872485503472221</v>
      </c>
      <c r="O6" s="72">
        <f>VLOOKUP(H6,TimeBasis!A:B,2,FALSE)*M6</f>
        <v>6.05592013888889E-2</v>
      </c>
      <c r="P6" s="117">
        <f t="shared" si="5"/>
        <v>7.2569444444444452E-3</v>
      </c>
      <c r="Q6" s="117" t="str">
        <f t="shared" si="18"/>
        <v/>
      </c>
      <c r="R6" s="57" t="str">
        <f t="shared" si="15"/>
        <v/>
      </c>
      <c r="S6" s="63">
        <f t="shared" si="16"/>
        <v>1.375</v>
      </c>
      <c r="T6" s="58"/>
      <c r="U6" s="54">
        <f t="shared" si="17"/>
        <v>8.3450000000000006</v>
      </c>
      <c r="V6" s="56" t="str">
        <f t="shared" si="6"/>
        <v/>
      </c>
      <c r="W6" s="56" t="str">
        <f t="shared" si="7"/>
        <v/>
      </c>
      <c r="X6" s="56" t="str">
        <f t="shared" si="8"/>
        <v/>
      </c>
      <c r="Y6" s="59"/>
      <c r="Z6" s="87" t="s">
        <v>12</v>
      </c>
      <c r="AA6" s="114">
        <f t="shared" si="9"/>
        <v>4</v>
      </c>
      <c r="AB6" s="115">
        <f t="shared" si="10"/>
        <v>4</v>
      </c>
      <c r="AC6" s="116">
        <f t="shared" si="11"/>
        <v>0</v>
      </c>
      <c r="AD6" s="96" t="str">
        <f t="shared" si="12"/>
        <v/>
      </c>
      <c r="AE6" s="89" t="str">
        <f t="shared" si="12"/>
        <v/>
      </c>
      <c r="AF6" s="89" t="str">
        <f t="shared" si="12"/>
        <v/>
      </c>
      <c r="AG6" s="89" t="e">
        <f t="shared" si="12"/>
        <v>#N/A</v>
      </c>
      <c r="AH6" s="89" t="e">
        <f t="shared" si="12"/>
        <v>#N/A</v>
      </c>
      <c r="AI6" s="97" t="e">
        <f t="shared" si="12"/>
        <v>#N/A</v>
      </c>
    </row>
    <row r="7" spans="1:37" x14ac:dyDescent="0.2">
      <c r="A7" s="51">
        <v>5</v>
      </c>
      <c r="B7" s="53" t="s">
        <v>27</v>
      </c>
      <c r="C7" s="52" t="str">
        <f t="shared" si="0"/>
        <v>Lexen, Laura</v>
      </c>
      <c r="D7" s="51" t="str">
        <f t="shared" si="1"/>
        <v>LL</v>
      </c>
      <c r="E7" s="53" t="s">
        <v>10</v>
      </c>
      <c r="F7" s="140">
        <v>2</v>
      </c>
      <c r="G7" s="143">
        <f>VLOOKUP(E7&amp;F7,CoursesBasis!F$2:K$24,6,FALSE)</f>
        <v>4.08</v>
      </c>
      <c r="H7" s="51" t="str">
        <f t="shared" si="13"/>
        <v>SE2LL</v>
      </c>
      <c r="I7" s="51">
        <v>1</v>
      </c>
      <c r="J7" s="54">
        <f t="shared" si="2"/>
        <v>1</v>
      </c>
      <c r="K7" s="54">
        <f t="shared" si="3"/>
        <v>0.95</v>
      </c>
      <c r="L7" s="54">
        <f>VLOOKUP(N7-Parameters!$C$28,Zeit,2)</f>
        <v>1</v>
      </c>
      <c r="M7" s="55">
        <f t="shared" si="4"/>
        <v>0.95</v>
      </c>
      <c r="N7" s="71">
        <f t="shared" si="14"/>
        <v>1.5478077517361111</v>
      </c>
      <c r="O7" s="72">
        <f>VLOOKUP(H7,TimeBasis!A:B,2,FALSE)*M7</f>
        <v>2.4224999999999997E-2</v>
      </c>
      <c r="P7" s="117">
        <f t="shared" si="5"/>
        <v>6.5972222222222213E-3</v>
      </c>
      <c r="Q7" s="117" t="str">
        <f t="shared" si="18"/>
        <v/>
      </c>
      <c r="R7" s="57" t="str">
        <f t="shared" si="15"/>
        <v/>
      </c>
      <c r="S7" s="63">
        <f t="shared" si="16"/>
        <v>1.375</v>
      </c>
      <c r="T7" s="58"/>
      <c r="U7" s="54">
        <f t="shared" si="17"/>
        <v>4.08</v>
      </c>
      <c r="V7" s="56" t="str">
        <f t="shared" si="6"/>
        <v/>
      </c>
      <c r="W7" s="56" t="str">
        <f t="shared" si="7"/>
        <v/>
      </c>
      <c r="X7" s="56" t="str">
        <f t="shared" si="8"/>
        <v/>
      </c>
      <c r="Y7" s="59"/>
      <c r="Z7" s="87" t="s">
        <v>13</v>
      </c>
      <c r="AA7" s="114">
        <f t="shared" si="9"/>
        <v>3</v>
      </c>
      <c r="AB7" s="115">
        <f t="shared" si="10"/>
        <v>3</v>
      </c>
      <c r="AC7" s="116">
        <f t="shared" si="11"/>
        <v>0</v>
      </c>
      <c r="AD7" s="96" t="str">
        <f t="shared" si="12"/>
        <v/>
      </c>
      <c r="AE7" s="89" t="str">
        <f t="shared" si="12"/>
        <v/>
      </c>
      <c r="AF7" s="89" t="str">
        <f t="shared" si="12"/>
        <v/>
      </c>
      <c r="AG7" s="89" t="e">
        <f t="shared" si="12"/>
        <v>#N/A</v>
      </c>
      <c r="AH7" s="89" t="e">
        <f t="shared" si="12"/>
        <v>#N/A</v>
      </c>
      <c r="AI7" s="97" t="e">
        <f t="shared" si="12"/>
        <v>#N/A</v>
      </c>
    </row>
    <row r="8" spans="1:37" x14ac:dyDescent="0.2">
      <c r="A8" s="51">
        <v>6</v>
      </c>
      <c r="B8" s="53" t="s">
        <v>28</v>
      </c>
      <c r="C8" s="52" t="str">
        <f t="shared" si="0"/>
        <v>Lexen, Laetitia</v>
      </c>
      <c r="D8" s="51" t="str">
        <f t="shared" si="1"/>
        <v>LT</v>
      </c>
      <c r="E8" s="53" t="s">
        <v>10</v>
      </c>
      <c r="F8" s="140">
        <v>3</v>
      </c>
      <c r="G8" s="143">
        <f>VLOOKUP(E8&amp;F8,CoursesBasis!F$2:K$24,6,FALSE)</f>
        <v>3.7149999999999999</v>
      </c>
      <c r="H8" s="51" t="str">
        <f t="shared" si="13"/>
        <v>SE3LT</v>
      </c>
      <c r="I8" s="51">
        <v>1</v>
      </c>
      <c r="J8" s="54">
        <f t="shared" si="2"/>
        <v>1</v>
      </c>
      <c r="K8" s="54">
        <f t="shared" si="3"/>
        <v>0.95</v>
      </c>
      <c r="L8" s="54">
        <f>VLOOKUP(N8-Parameters!$C$28,Zeit,2)</f>
        <v>1</v>
      </c>
      <c r="M8" s="55">
        <f t="shared" si="4"/>
        <v>0.95</v>
      </c>
      <c r="N8" s="71">
        <f t="shared" si="14"/>
        <v>1.572032751736111</v>
      </c>
      <c r="O8" s="72">
        <f>VLOOKUP(H8,TimeBasis!A:B,2,FALSE)*M8</f>
        <v>2.3160703124999994E-2</v>
      </c>
      <c r="P8" s="117">
        <f t="shared" si="5"/>
        <v>6.927083333333332E-3</v>
      </c>
      <c r="Q8" s="117" t="str">
        <f t="shared" si="18"/>
        <v/>
      </c>
      <c r="R8" s="57" t="str">
        <f t="shared" si="15"/>
        <v/>
      </c>
      <c r="S8" s="63">
        <f t="shared" si="16"/>
        <v>1.375</v>
      </c>
      <c r="T8" s="58"/>
      <c r="U8" s="54">
        <f t="shared" si="17"/>
        <v>3.7149999999999999</v>
      </c>
      <c r="V8" s="56" t="str">
        <f t="shared" si="6"/>
        <v/>
      </c>
      <c r="W8" s="56" t="str">
        <f t="shared" si="7"/>
        <v/>
      </c>
      <c r="X8" s="56" t="str">
        <f t="shared" si="8"/>
        <v/>
      </c>
      <c r="Y8" s="59"/>
      <c r="Z8" s="87" t="s">
        <v>14</v>
      </c>
      <c r="AA8" s="114">
        <f t="shared" si="9"/>
        <v>1</v>
      </c>
      <c r="AB8" s="115">
        <f t="shared" si="10"/>
        <v>1</v>
      </c>
      <c r="AC8" s="116">
        <f t="shared" si="11"/>
        <v>0</v>
      </c>
      <c r="AD8" s="96" t="e">
        <f t="shared" si="12"/>
        <v>#N/A</v>
      </c>
      <c r="AE8" s="89" t="e">
        <f t="shared" si="12"/>
        <v>#N/A</v>
      </c>
      <c r="AF8" s="89" t="e">
        <f t="shared" si="12"/>
        <v>#N/A</v>
      </c>
      <c r="AG8" s="89" t="e">
        <f t="shared" si="12"/>
        <v>#N/A</v>
      </c>
      <c r="AH8" s="89" t="e">
        <f t="shared" si="12"/>
        <v>#N/A</v>
      </c>
      <c r="AI8" s="97" t="e">
        <f t="shared" si="12"/>
        <v>#N/A</v>
      </c>
    </row>
    <row r="9" spans="1:37" x14ac:dyDescent="0.2">
      <c r="A9" s="51">
        <v>7</v>
      </c>
      <c r="B9" s="53" t="s">
        <v>23</v>
      </c>
      <c r="C9" s="52" t="str">
        <f t="shared" ref="C9:C20" si="19">VLOOKUP(B9,Teilnehmer,3,FALSE)&amp;IF($N10&gt;Endzeit," - Einlauf nach Zielschluß","")</f>
        <v>Lexen, Johanna</v>
      </c>
      <c r="D9" s="51" t="str">
        <f t="shared" si="1"/>
        <v>LJ</v>
      </c>
      <c r="E9" s="53" t="s">
        <v>12</v>
      </c>
      <c r="F9" s="140">
        <v>2</v>
      </c>
      <c r="G9" s="143">
        <f>VLOOKUP(E9&amp;F9,CoursesBasis!F$2:K$24,6,FALSE)</f>
        <v>8.17</v>
      </c>
      <c r="H9" s="51" t="str">
        <f t="shared" si="13"/>
        <v>LE2LJ</v>
      </c>
      <c r="I9" s="51">
        <f t="shared" ref="I9:I20" si="20">I3+1</f>
        <v>2</v>
      </c>
      <c r="J9" s="54">
        <f t="shared" si="2"/>
        <v>1.0331349999999999</v>
      </c>
      <c r="K9" s="54">
        <f t="shared" si="3"/>
        <v>1</v>
      </c>
      <c r="L9" s="54">
        <f>VLOOKUP(N9-Parameters!$C$28,Zeit,2)</f>
        <v>1</v>
      </c>
      <c r="M9" s="55">
        <f t="shared" si="4"/>
        <v>1.0331349999999999</v>
      </c>
      <c r="N9" s="71">
        <f t="shared" si="14"/>
        <v>1.5951934548611111</v>
      </c>
      <c r="O9" s="72">
        <f>VLOOKUP(H9,TimeBasis!A:B,2,FALSE)*M9</f>
        <v>4.9823652829861106E-2</v>
      </c>
      <c r="P9" s="117">
        <f t="shared" si="5"/>
        <v>6.098366319444444E-3</v>
      </c>
      <c r="Q9" s="117" t="str">
        <f t="shared" si="18"/>
        <v/>
      </c>
      <c r="R9" s="57" t="str">
        <f t="shared" si="15"/>
        <v/>
      </c>
      <c r="S9" s="63">
        <f t="shared" si="16"/>
        <v>1.375</v>
      </c>
      <c r="T9" s="58"/>
      <c r="U9" s="54">
        <f t="shared" si="17"/>
        <v>8.17</v>
      </c>
      <c r="V9" s="56" t="str">
        <f t="shared" si="6"/>
        <v/>
      </c>
      <c r="W9" s="56" t="str">
        <f t="shared" si="7"/>
        <v/>
      </c>
      <c r="X9" s="56" t="str">
        <f t="shared" si="8"/>
        <v/>
      </c>
      <c r="Y9" s="59"/>
      <c r="Z9" s="87" t="s">
        <v>15</v>
      </c>
      <c r="AA9" s="114">
        <f t="shared" si="9"/>
        <v>1</v>
      </c>
      <c r="AB9" s="115">
        <f t="shared" si="10"/>
        <v>1</v>
      </c>
      <c r="AC9" s="116">
        <f t="shared" si="11"/>
        <v>0</v>
      </c>
      <c r="AD9" s="96" t="e">
        <f t="shared" si="12"/>
        <v>#N/A</v>
      </c>
      <c r="AE9" s="89" t="e">
        <f t="shared" si="12"/>
        <v>#N/A</v>
      </c>
      <c r="AF9" s="89" t="e">
        <f t="shared" si="12"/>
        <v>#N/A</v>
      </c>
      <c r="AG9" s="89" t="e">
        <f t="shared" si="12"/>
        <v>#N/A</v>
      </c>
      <c r="AH9" s="89" t="e">
        <f t="shared" si="12"/>
        <v>#N/A</v>
      </c>
      <c r="AI9" s="97" t="e">
        <f t="shared" si="12"/>
        <v>#N/A</v>
      </c>
    </row>
    <row r="10" spans="1:37" x14ac:dyDescent="0.2">
      <c r="A10" s="51">
        <v>8</v>
      </c>
      <c r="B10" s="53" t="s">
        <v>24</v>
      </c>
      <c r="C10" s="52" t="str">
        <f t="shared" si="19"/>
        <v>Baath, Ole</v>
      </c>
      <c r="D10" s="51" t="str">
        <f t="shared" si="1"/>
        <v>BO</v>
      </c>
      <c r="E10" s="53" t="s">
        <v>11</v>
      </c>
      <c r="F10" s="140">
        <v>1</v>
      </c>
      <c r="G10" s="143">
        <f>VLOOKUP(E10&amp;F10,CoursesBasis!F$2:K$24,6,FALSE)</f>
        <v>5.9950000000000001</v>
      </c>
      <c r="H10" s="51" t="str">
        <f t="shared" si="13"/>
        <v>SD1BO</v>
      </c>
      <c r="I10" s="51">
        <f t="shared" si="20"/>
        <v>2</v>
      </c>
      <c r="J10" s="54">
        <f t="shared" si="2"/>
        <v>1.0357239583333333</v>
      </c>
      <c r="K10" s="54">
        <f t="shared" si="3"/>
        <v>1.1000000000000001</v>
      </c>
      <c r="L10" s="54">
        <f>VLOOKUP(N10-Parameters!$C$28,Zeit,2)</f>
        <v>1</v>
      </c>
      <c r="M10" s="55">
        <f t="shared" si="4"/>
        <v>1.1392963541666667</v>
      </c>
      <c r="N10" s="71">
        <f t="shared" si="14"/>
        <v>1.6450171076909721</v>
      </c>
      <c r="O10" s="72">
        <f>VLOOKUP(H10,TimeBasis!A:B,2,FALSE)*M10</f>
        <v>4.5059566396303527E-2</v>
      </c>
      <c r="P10" s="117">
        <f t="shared" si="5"/>
        <v>7.5161912254050932E-3</v>
      </c>
      <c r="Q10" s="117" t="str">
        <f t="shared" si="18"/>
        <v/>
      </c>
      <c r="R10" s="57" t="str">
        <f t="shared" si="15"/>
        <v/>
      </c>
      <c r="S10" s="63">
        <f t="shared" si="16"/>
        <v>1.375</v>
      </c>
      <c r="T10" s="58"/>
      <c r="U10" s="54">
        <f t="shared" si="17"/>
        <v>5.9950000000000001</v>
      </c>
      <c r="V10" s="56" t="str">
        <f t="shared" si="6"/>
        <v/>
      </c>
      <c r="W10" s="56" t="str">
        <f t="shared" si="7"/>
        <v/>
      </c>
      <c r="X10" s="56" t="str">
        <f t="shared" si="8"/>
        <v/>
      </c>
      <c r="Y10" s="59"/>
      <c r="Z10" s="87" t="s">
        <v>16</v>
      </c>
      <c r="AA10" s="114" t="e">
        <f t="shared" si="9"/>
        <v>#N/A</v>
      </c>
      <c r="AB10" s="115">
        <f t="shared" si="10"/>
        <v>0</v>
      </c>
      <c r="AC10" s="116" t="e">
        <f t="shared" si="11"/>
        <v>#N/A</v>
      </c>
      <c r="AD10" s="96" t="e">
        <f t="shared" si="12"/>
        <v>#N/A</v>
      </c>
      <c r="AE10" s="89" t="e">
        <f t="shared" si="12"/>
        <v>#N/A</v>
      </c>
      <c r="AF10" s="89" t="e">
        <f t="shared" si="12"/>
        <v>#N/A</v>
      </c>
      <c r="AG10" s="89" t="e">
        <f t="shared" si="12"/>
        <v>#N/A</v>
      </c>
      <c r="AH10" s="89" t="e">
        <f t="shared" si="12"/>
        <v>#N/A</v>
      </c>
      <c r="AI10" s="97" t="e">
        <f t="shared" si="12"/>
        <v>#N/A</v>
      </c>
    </row>
    <row r="11" spans="1:37" x14ac:dyDescent="0.2">
      <c r="A11" s="51">
        <v>9</v>
      </c>
      <c r="B11" s="53" t="s">
        <v>25</v>
      </c>
      <c r="C11" s="52" t="str">
        <f t="shared" si="19"/>
        <v>Irrlinger, Kilian</v>
      </c>
      <c r="D11" s="51" t="str">
        <f t="shared" si="1"/>
        <v>IK</v>
      </c>
      <c r="E11" s="53" t="s">
        <v>11</v>
      </c>
      <c r="F11" s="140">
        <v>2</v>
      </c>
      <c r="G11" s="143">
        <f>VLOOKUP(E11&amp;F11,CoursesBasis!F$2:K$24,6,FALSE)</f>
        <v>6.5149999999999997</v>
      </c>
      <c r="H11" s="51" t="str">
        <f t="shared" si="13"/>
        <v>SD2IK</v>
      </c>
      <c r="I11" s="51">
        <f t="shared" si="20"/>
        <v>2</v>
      </c>
      <c r="J11" s="54">
        <f t="shared" si="2"/>
        <v>1.0342395</v>
      </c>
      <c r="K11" s="54">
        <f t="shared" si="3"/>
        <v>1.05</v>
      </c>
      <c r="L11" s="54">
        <f>VLOOKUP(N11-Parameters!$C$28,Zeit,2)</f>
        <v>1</v>
      </c>
      <c r="M11" s="55">
        <f t="shared" si="4"/>
        <v>1.0859514750000001</v>
      </c>
      <c r="N11" s="71">
        <f t="shared" si="14"/>
        <v>1.6900766740872757</v>
      </c>
      <c r="O11" s="72">
        <f>VLOOKUP(H11,TimeBasis!A:B,2,FALSE)*M11</f>
        <v>4.421858662265625E-2</v>
      </c>
      <c r="P11" s="117">
        <f t="shared" si="5"/>
        <v>6.7871967187500002E-3</v>
      </c>
      <c r="Q11" s="117" t="str">
        <f t="shared" si="18"/>
        <v/>
      </c>
      <c r="R11" s="57" t="str">
        <f t="shared" si="15"/>
        <v/>
      </c>
      <c r="S11" s="63">
        <f t="shared" si="16"/>
        <v>1.375</v>
      </c>
      <c r="T11" s="58"/>
      <c r="U11" s="54">
        <f t="shared" si="17"/>
        <v>6.5149999999999997</v>
      </c>
      <c r="V11" s="56" t="str">
        <f t="shared" si="6"/>
        <v/>
      </c>
      <c r="W11" s="56" t="str">
        <f t="shared" si="7"/>
        <v/>
      </c>
      <c r="X11" s="56" t="str">
        <f t="shared" si="8"/>
        <v/>
      </c>
      <c r="Y11" s="59"/>
      <c r="Z11" s="87" t="s">
        <v>17</v>
      </c>
      <c r="AA11" s="114" t="e">
        <f t="shared" si="9"/>
        <v>#N/A</v>
      </c>
      <c r="AB11" s="115">
        <f t="shared" si="10"/>
        <v>0</v>
      </c>
      <c r="AC11" s="116" t="e">
        <f t="shared" si="11"/>
        <v>#N/A</v>
      </c>
      <c r="AD11" s="96" t="e">
        <f t="shared" si="12"/>
        <v>#N/A</v>
      </c>
      <c r="AE11" s="89" t="e">
        <f t="shared" si="12"/>
        <v>#N/A</v>
      </c>
      <c r="AF11" s="89" t="e">
        <f t="shared" si="12"/>
        <v>#N/A</v>
      </c>
      <c r="AG11" s="89" t="e">
        <f t="shared" si="12"/>
        <v>#N/A</v>
      </c>
      <c r="AH11" s="89" t="e">
        <f t="shared" si="12"/>
        <v>#N/A</v>
      </c>
      <c r="AI11" s="97" t="e">
        <f t="shared" si="12"/>
        <v>#N/A</v>
      </c>
    </row>
    <row r="12" spans="1:37" x14ac:dyDescent="0.2">
      <c r="A12" s="51">
        <v>10</v>
      </c>
      <c r="B12" s="53" t="s">
        <v>26</v>
      </c>
      <c r="C12" s="52" t="str">
        <f t="shared" si="19"/>
        <v>Mörtl, Simone</v>
      </c>
      <c r="D12" s="51" t="str">
        <f t="shared" si="1"/>
        <v>MS</v>
      </c>
      <c r="E12" s="53" t="s">
        <v>11</v>
      </c>
      <c r="F12" s="140">
        <v>3</v>
      </c>
      <c r="G12" s="143">
        <f>VLOOKUP(E12&amp;F12,CoursesBasis!F$2:K$24,6,FALSE)</f>
        <v>5.69</v>
      </c>
      <c r="H12" s="51" t="str">
        <f t="shared" si="13"/>
        <v>SD3MS</v>
      </c>
      <c r="I12" s="51">
        <f t="shared" si="20"/>
        <v>2</v>
      </c>
      <c r="J12" s="54">
        <f t="shared" si="2"/>
        <v>1.0345958333333334</v>
      </c>
      <c r="K12" s="54">
        <f t="shared" si="3"/>
        <v>1.05</v>
      </c>
      <c r="L12" s="54">
        <f>VLOOKUP(N12-Parameters!$C$28,Zeit,2)</f>
        <v>1</v>
      </c>
      <c r="M12" s="55">
        <f t="shared" si="4"/>
        <v>1.0863256250000002</v>
      </c>
      <c r="N12" s="71">
        <f t="shared" si="14"/>
        <v>1.734295260709932</v>
      </c>
      <c r="O12" s="72">
        <f>VLOOKUP(H12,TimeBasis!A:B,2,FALSE)*M12</f>
        <v>4.0778702541232642E-2</v>
      </c>
      <c r="P12" s="117">
        <f t="shared" si="5"/>
        <v>7.166731553819446E-3</v>
      </c>
      <c r="Q12" s="117" t="str">
        <f t="shared" si="18"/>
        <v/>
      </c>
      <c r="R12" s="57" t="str">
        <f t="shared" si="15"/>
        <v/>
      </c>
      <c r="S12" s="63">
        <f t="shared" si="16"/>
        <v>1.375</v>
      </c>
      <c r="T12" s="58"/>
      <c r="U12" s="54">
        <f t="shared" si="17"/>
        <v>5.69</v>
      </c>
      <c r="V12" s="56" t="str">
        <f t="shared" si="6"/>
        <v/>
      </c>
      <c r="W12" s="56" t="str">
        <f t="shared" si="7"/>
        <v/>
      </c>
      <c r="X12" s="56" t="str">
        <f t="shared" si="8"/>
        <v/>
      </c>
      <c r="Y12" s="59"/>
      <c r="Z12" s="87" t="s">
        <v>18</v>
      </c>
      <c r="AA12" s="114" t="e">
        <f t="shared" si="9"/>
        <v>#N/A</v>
      </c>
      <c r="AB12" s="115">
        <f t="shared" si="10"/>
        <v>0</v>
      </c>
      <c r="AC12" s="116" t="e">
        <f t="shared" si="11"/>
        <v>#N/A</v>
      </c>
      <c r="AD12" s="96" t="e">
        <f t="shared" si="12"/>
        <v>#N/A</v>
      </c>
      <c r="AE12" s="89" t="e">
        <f t="shared" si="12"/>
        <v>#N/A</v>
      </c>
      <c r="AF12" s="89" t="e">
        <f t="shared" si="12"/>
        <v>#N/A</v>
      </c>
      <c r="AG12" s="89" t="e">
        <f t="shared" si="12"/>
        <v>#N/A</v>
      </c>
      <c r="AH12" s="89" t="e">
        <f t="shared" si="12"/>
        <v>#N/A</v>
      </c>
      <c r="AI12" s="97" t="e">
        <f t="shared" si="12"/>
        <v>#N/A</v>
      </c>
    </row>
    <row r="13" spans="1:37" x14ac:dyDescent="0.2">
      <c r="A13" s="51">
        <v>11</v>
      </c>
      <c r="B13" s="53" t="s">
        <v>27</v>
      </c>
      <c r="C13" s="52" t="str">
        <f t="shared" si="19"/>
        <v>Lexen, Laura</v>
      </c>
      <c r="D13" s="51" t="str">
        <f t="shared" si="1"/>
        <v>LL</v>
      </c>
      <c r="E13" s="53" t="s">
        <v>11</v>
      </c>
      <c r="F13" s="140">
        <v>4</v>
      </c>
      <c r="G13" s="143">
        <f>VLOOKUP(E13&amp;F13,CoursesBasis!F$2:K$24,6,FALSE)</f>
        <v>6.48</v>
      </c>
      <c r="H13" s="51" t="str">
        <f t="shared" si="13"/>
        <v>SD4LL</v>
      </c>
      <c r="I13" s="51">
        <f t="shared" si="20"/>
        <v>2</v>
      </c>
      <c r="J13" s="54">
        <f t="shared" si="2"/>
        <v>1.0364800000000001</v>
      </c>
      <c r="K13" s="54">
        <f t="shared" si="3"/>
        <v>1.05</v>
      </c>
      <c r="L13" s="54">
        <f>VLOOKUP(N13-Parameters!$C$28,Zeit,2)</f>
        <v>1</v>
      </c>
      <c r="M13" s="55">
        <f t="shared" si="4"/>
        <v>1.0883040000000002</v>
      </c>
      <c r="N13" s="71">
        <f t="shared" si="14"/>
        <v>1.7750739632511647</v>
      </c>
      <c r="O13" s="72">
        <f>VLOOKUP(H13,TimeBasis!A:B,2,FALSE)*M13</f>
        <v>4.8973680000000006E-2</v>
      </c>
      <c r="P13" s="117">
        <f t="shared" si="5"/>
        <v>7.5576666666666674E-3</v>
      </c>
      <c r="Q13" s="117" t="str">
        <f t="shared" si="18"/>
        <v/>
      </c>
      <c r="R13" s="57" t="str">
        <f t="shared" si="15"/>
        <v/>
      </c>
      <c r="S13" s="63">
        <f t="shared" si="16"/>
        <v>1.375</v>
      </c>
      <c r="T13" s="58"/>
      <c r="U13" s="54">
        <f t="shared" si="17"/>
        <v>6.48</v>
      </c>
      <c r="V13" s="56" t="str">
        <f t="shared" si="6"/>
        <v/>
      </c>
      <c r="W13" s="56" t="str">
        <f t="shared" si="7"/>
        <v/>
      </c>
      <c r="X13" s="56" t="str">
        <f t="shared" si="8"/>
        <v/>
      </c>
      <c r="Y13" s="59"/>
      <c r="Z13" s="87" t="s">
        <v>19</v>
      </c>
      <c r="AA13" s="114" t="e">
        <f t="shared" si="9"/>
        <v>#N/A</v>
      </c>
      <c r="AB13" s="115">
        <f t="shared" si="10"/>
        <v>0</v>
      </c>
      <c r="AC13" s="116" t="e">
        <f t="shared" si="11"/>
        <v>#N/A</v>
      </c>
      <c r="AD13" s="96" t="e">
        <f t="shared" si="12"/>
        <v>#N/A</v>
      </c>
      <c r="AE13" s="89" t="e">
        <f t="shared" si="12"/>
        <v>#N/A</v>
      </c>
      <c r="AF13" s="89" t="e">
        <f t="shared" si="12"/>
        <v>#N/A</v>
      </c>
      <c r="AG13" s="89" t="e">
        <f t="shared" si="12"/>
        <v>#N/A</v>
      </c>
      <c r="AH13" s="89" t="e">
        <f t="shared" si="12"/>
        <v>#N/A</v>
      </c>
      <c r="AI13" s="97" t="e">
        <f t="shared" si="12"/>
        <v>#N/A</v>
      </c>
    </row>
    <row r="14" spans="1:37" ht="13.5" thickBot="1" x14ac:dyDescent="0.25">
      <c r="A14" s="51">
        <v>12</v>
      </c>
      <c r="B14" s="53" t="s">
        <v>28</v>
      </c>
      <c r="C14" s="52" t="str">
        <f t="shared" si="19"/>
        <v>Lexen, Laetitia</v>
      </c>
      <c r="D14" s="51" t="str">
        <f t="shared" si="1"/>
        <v>LT</v>
      </c>
      <c r="E14" s="53" t="s">
        <v>10</v>
      </c>
      <c r="F14" s="140">
        <v>4</v>
      </c>
      <c r="G14" s="143">
        <f>VLOOKUP(E14&amp;F14,CoursesBasis!F$2:K$24,6,FALSE)</f>
        <v>4.1499999999999995</v>
      </c>
      <c r="H14" s="51" t="str">
        <f t="shared" si="13"/>
        <v>SE4LT</v>
      </c>
      <c r="I14" s="51">
        <f t="shared" si="20"/>
        <v>2</v>
      </c>
      <c r="J14" s="54">
        <f t="shared" si="2"/>
        <v>1.0380280416666667</v>
      </c>
      <c r="K14" s="54">
        <f t="shared" si="3"/>
        <v>0.95</v>
      </c>
      <c r="L14" s="54">
        <f>VLOOKUP(N14-Parameters!$C$28,Zeit,2)</f>
        <v>1.02</v>
      </c>
      <c r="M14" s="55">
        <f t="shared" si="4"/>
        <v>1.005849172375</v>
      </c>
      <c r="N14" s="71">
        <f t="shared" si="14"/>
        <v>1.8240476432511648</v>
      </c>
      <c r="O14" s="72">
        <f>VLOOKUP(H14,TimeBasis!A:B,2,FALSE)*M14</f>
        <v>2.7393673553900388E-2</v>
      </c>
      <c r="P14" s="117">
        <f t="shared" si="5"/>
        <v>7.3343168819010414E-3</v>
      </c>
      <c r="Q14" s="117" t="str">
        <f t="shared" si="18"/>
        <v/>
      </c>
      <c r="R14" s="57" t="str">
        <f t="shared" si="15"/>
        <v/>
      </c>
      <c r="S14" s="63">
        <f t="shared" si="16"/>
        <v>1.375</v>
      </c>
      <c r="T14" s="58"/>
      <c r="U14" s="54">
        <f t="shared" si="17"/>
        <v>4.1499999999999995</v>
      </c>
      <c r="V14" s="56" t="str">
        <f t="shared" si="6"/>
        <v/>
      </c>
      <c r="W14" s="56" t="str">
        <f t="shared" si="7"/>
        <v/>
      </c>
      <c r="X14" s="56" t="str">
        <f t="shared" si="8"/>
        <v/>
      </c>
      <c r="Y14" s="59"/>
      <c r="Z14" s="87" t="s">
        <v>20</v>
      </c>
      <c r="AA14" s="114" t="e">
        <f t="shared" si="9"/>
        <v>#N/A</v>
      </c>
      <c r="AB14" s="115">
        <f t="shared" si="10"/>
        <v>0</v>
      </c>
      <c r="AC14" s="116" t="e">
        <f t="shared" si="11"/>
        <v>#N/A</v>
      </c>
      <c r="AD14" s="98" t="e">
        <f t="shared" si="12"/>
        <v>#N/A</v>
      </c>
      <c r="AE14" s="99" t="e">
        <f t="shared" si="12"/>
        <v>#N/A</v>
      </c>
      <c r="AF14" s="99" t="e">
        <f t="shared" si="12"/>
        <v>#N/A</v>
      </c>
      <c r="AG14" s="99" t="e">
        <f t="shared" si="12"/>
        <v>#N/A</v>
      </c>
      <c r="AH14" s="99" t="e">
        <f t="shared" si="12"/>
        <v>#N/A</v>
      </c>
      <c r="AI14" s="100" t="e">
        <f t="shared" si="12"/>
        <v>#N/A</v>
      </c>
    </row>
    <row r="15" spans="1:37" x14ac:dyDescent="0.2">
      <c r="A15" s="51">
        <v>13</v>
      </c>
      <c r="B15" s="53" t="s">
        <v>23</v>
      </c>
      <c r="C15" s="52" t="str">
        <f t="shared" si="19"/>
        <v>Lexen, Johanna</v>
      </c>
      <c r="D15" s="51" t="str">
        <f t="shared" si="1"/>
        <v>LJ</v>
      </c>
      <c r="E15" s="53" t="s">
        <v>14</v>
      </c>
      <c r="F15" s="140">
        <v>1</v>
      </c>
      <c r="G15" s="143">
        <f>VLOOKUP(E15&amp;F15,CoursesBasis!F$2:K$24,6,FALSE)</f>
        <v>4.88</v>
      </c>
      <c r="H15" s="51" t="str">
        <f t="shared" si="13"/>
        <v>ST1LJ</v>
      </c>
      <c r="I15" s="51">
        <f t="shared" si="20"/>
        <v>3</v>
      </c>
      <c r="J15" s="54">
        <f t="shared" si="2"/>
        <v>1.0622938</v>
      </c>
      <c r="K15" s="54">
        <f t="shared" si="3"/>
        <v>0.8</v>
      </c>
      <c r="L15" s="54">
        <f>VLOOKUP(N15-Parameters!$C$28,Zeit,2)</f>
        <v>1.02</v>
      </c>
      <c r="M15" s="55">
        <f t="shared" si="4"/>
        <v>0.86683174080000003</v>
      </c>
      <c r="N15" s="71">
        <f t="shared" si="14"/>
        <v>1.8514413168050652</v>
      </c>
      <c r="O15" s="72">
        <f>VLOOKUP(H15,TimeBasis!A:B,2,FALSE)*M15</f>
        <v>2.2472612880240002E-2</v>
      </c>
      <c r="P15" s="117">
        <f t="shared" si="5"/>
        <v>5.1167151366666667E-3</v>
      </c>
      <c r="Q15" s="117" t="str">
        <f t="shared" si="18"/>
        <v/>
      </c>
      <c r="R15" s="57" t="str">
        <f t="shared" si="15"/>
        <v/>
      </c>
      <c r="S15" s="63">
        <f t="shared" si="16"/>
        <v>1.8333333333333333</v>
      </c>
      <c r="T15" s="58"/>
      <c r="U15" s="54">
        <f t="shared" si="17"/>
        <v>4.88</v>
      </c>
      <c r="V15" s="56" t="str">
        <f t="shared" si="6"/>
        <v/>
      </c>
      <c r="W15" s="56" t="str">
        <f t="shared" si="7"/>
        <v/>
      </c>
      <c r="X15" s="56" t="str">
        <f t="shared" si="8"/>
        <v/>
      </c>
      <c r="Y15" s="59"/>
      <c r="Z15" s="87"/>
      <c r="AA15" s="87"/>
      <c r="AB15" s="88">
        <f>SUM(AB3:AB14)</f>
        <v>18</v>
      </c>
      <c r="AC15" s="88" t="e">
        <f>SUM(AC3:AC14)</f>
        <v>#N/A</v>
      </c>
    </row>
    <row r="16" spans="1:37" x14ac:dyDescent="0.2">
      <c r="A16" s="51">
        <v>14</v>
      </c>
      <c r="B16" s="53" t="s">
        <v>24</v>
      </c>
      <c r="C16" s="52" t="str">
        <f t="shared" si="19"/>
        <v>Baath, Ole - Einlauf nach Zielschluß</v>
      </c>
      <c r="D16" s="51" t="str">
        <f t="shared" si="1"/>
        <v>BO</v>
      </c>
      <c r="E16" s="53" t="s">
        <v>15</v>
      </c>
      <c r="F16" s="140">
        <v>1</v>
      </c>
      <c r="G16" s="143">
        <f>VLOOKUP(E16&amp;F16,CoursesBasis!F$2:K$24,6,FALSE)</f>
        <v>7.8550000000000004</v>
      </c>
      <c r="H16" s="51" t="str">
        <f t="shared" si="13"/>
        <v>LT1BO</v>
      </c>
      <c r="I16" s="51">
        <f t="shared" si="20"/>
        <v>3</v>
      </c>
      <c r="J16" s="54">
        <f t="shared" si="2"/>
        <v>1.0678755208333333</v>
      </c>
      <c r="K16" s="54">
        <f t="shared" si="3"/>
        <v>1.1000000000000001</v>
      </c>
      <c r="L16" s="54">
        <f>VLOOKUP(N16-Parameters!$C$28,Zeit,2)</f>
        <v>1.07</v>
      </c>
      <c r="M16" s="55">
        <f t="shared" si="4"/>
        <v>1.2568894880208334</v>
      </c>
      <c r="N16" s="71">
        <f t="shared" si="14"/>
        <v>1.8739139296853051</v>
      </c>
      <c r="O16" s="72">
        <f>VLOOKUP(H16,TimeBasis!A:B,2,FALSE)*M16</f>
        <v>6.5133497097107404E-2</v>
      </c>
      <c r="P16" s="117">
        <f t="shared" si="5"/>
        <v>8.2919792612485537E-3</v>
      </c>
      <c r="Q16" s="117" t="str">
        <f t="shared" si="18"/>
        <v/>
      </c>
      <c r="R16" s="57" t="str">
        <f t="shared" si="15"/>
        <v/>
      </c>
      <c r="S16" s="63">
        <f t="shared" si="16"/>
        <v>1.8333333333333333</v>
      </c>
      <c r="T16" s="58"/>
      <c r="U16" s="54">
        <f t="shared" si="17"/>
        <v>7.8550000000000004</v>
      </c>
      <c r="V16" s="56" t="str">
        <f t="shared" si="6"/>
        <v/>
      </c>
      <c r="W16" s="56" t="str">
        <f t="shared" si="7"/>
        <v/>
      </c>
      <c r="X16" s="56" t="str">
        <f t="shared" si="8"/>
        <v/>
      </c>
      <c r="Y16" s="59"/>
    </row>
    <row r="17" spans="1:35" x14ac:dyDescent="0.2">
      <c r="A17" s="51">
        <v>15</v>
      </c>
      <c r="B17" s="53" t="s">
        <v>25</v>
      </c>
      <c r="C17" s="52" t="str">
        <f t="shared" si="19"/>
        <v>Irrlinger, Kilian - Einlauf nach Zielschluß</v>
      </c>
      <c r="D17" s="51" t="str">
        <f t="shared" si="1"/>
        <v>IK</v>
      </c>
      <c r="E17" s="53" t="s">
        <v>12</v>
      </c>
      <c r="F17" s="140">
        <v>4</v>
      </c>
      <c r="G17" s="143">
        <f>VLOOKUP(E17&amp;F17,CoursesBasis!F$2:K$24,6,FALSE)</f>
        <v>9.09</v>
      </c>
      <c r="H17" s="51" t="str">
        <f t="shared" si="13"/>
        <v>LE4IK</v>
      </c>
      <c r="I17" s="51">
        <f t="shared" si="20"/>
        <v>3</v>
      </c>
      <c r="J17" s="54">
        <f t="shared" si="2"/>
        <v>1.06437026</v>
      </c>
      <c r="K17" s="54">
        <f t="shared" si="3"/>
        <v>1.1000000000000001</v>
      </c>
      <c r="L17" s="54">
        <f>VLOOKUP(N17-Parameters!$C$28,Zeit,2)</f>
        <v>1.1200000000000001</v>
      </c>
      <c r="M17" s="55">
        <f t="shared" si="4"/>
        <v>1.3113041603200002</v>
      </c>
      <c r="N17" s="71">
        <f t="shared" si="14"/>
        <v>1.9390474267824125</v>
      </c>
      <c r="O17" s="72">
        <f>VLOOKUP(H17,TimeBasis!A:B,2,FALSE)*M17</f>
        <v>7.4498467608180005E-2</v>
      </c>
      <c r="P17" s="117">
        <f t="shared" si="5"/>
        <v>8.1956510020000008E-3</v>
      </c>
      <c r="Q17" s="117" t="str">
        <f t="shared" si="18"/>
        <v/>
      </c>
      <c r="R17" s="57" t="str">
        <f t="shared" si="15"/>
        <v/>
      </c>
      <c r="S17" s="63">
        <f t="shared" si="16"/>
        <v>1.8333333333333333</v>
      </c>
      <c r="T17" s="58"/>
      <c r="U17" s="54">
        <f t="shared" si="17"/>
        <v>9.09</v>
      </c>
      <c r="V17" s="56" t="str">
        <f t="shared" si="6"/>
        <v/>
      </c>
      <c r="W17" s="56" t="str">
        <f t="shared" si="7"/>
        <v/>
      </c>
      <c r="X17" s="56" t="str">
        <f t="shared" si="8"/>
        <v/>
      </c>
      <c r="Y17" s="59"/>
      <c r="Z17" s="160" t="s">
        <v>31</v>
      </c>
      <c r="AA17" s="161"/>
      <c r="AB17" s="162"/>
      <c r="AC17" s="86" t="s">
        <v>49</v>
      </c>
      <c r="AD17" s="86" t="s">
        <v>43</v>
      </c>
      <c r="AE17" s="86" t="s">
        <v>44</v>
      </c>
      <c r="AF17" s="86" t="s">
        <v>47</v>
      </c>
      <c r="AG17" s="86" t="s">
        <v>74</v>
      </c>
      <c r="AH17" s="90" t="s">
        <v>75</v>
      </c>
      <c r="AI17" s="90" t="s">
        <v>56</v>
      </c>
    </row>
    <row r="18" spans="1:35" x14ac:dyDescent="0.2">
      <c r="A18" s="51">
        <v>16</v>
      </c>
      <c r="B18" s="53" t="s">
        <v>26</v>
      </c>
      <c r="C18" s="52" t="str">
        <f t="shared" si="19"/>
        <v>Mörtl, Simone - Einlauf nach Zielschluß</v>
      </c>
      <c r="D18" s="51" t="str">
        <f t="shared" si="1"/>
        <v>MS</v>
      </c>
      <c r="E18" s="53" t="s">
        <v>13</v>
      </c>
      <c r="F18" s="140">
        <v>1</v>
      </c>
      <c r="G18" s="143">
        <f>VLOOKUP(E18&amp;F18,CoursesBasis!F$2:K$24,6,FALSE)</f>
        <v>11.45</v>
      </c>
      <c r="H18" s="51" t="str">
        <f t="shared" si="13"/>
        <v>LD1MS</v>
      </c>
      <c r="I18" s="51">
        <f t="shared" si="20"/>
        <v>3</v>
      </c>
      <c r="J18" s="54">
        <f t="shared" si="2"/>
        <v>1.0657320833333335</v>
      </c>
      <c r="K18" s="54">
        <f t="shared" si="3"/>
        <v>1.3</v>
      </c>
      <c r="L18" s="54">
        <f>VLOOKUP(N18-Parameters!$C$28,Zeit,2)</f>
        <v>1.1200000000000001</v>
      </c>
      <c r="M18" s="55">
        <f t="shared" si="4"/>
        <v>1.5517059133333337</v>
      </c>
      <c r="N18" s="71">
        <f t="shared" si="14"/>
        <v>2.0135458943905924</v>
      </c>
      <c r="O18" s="72">
        <f>VLOOKUP(H18,TimeBasis!A:B,2,FALSE)*M18</f>
        <v>0.123073716152066</v>
      </c>
      <c r="P18" s="117">
        <f t="shared" si="5"/>
        <v>1.0236948733796299E-2</v>
      </c>
      <c r="Q18" s="117" t="str">
        <f t="shared" si="18"/>
        <v/>
      </c>
      <c r="R18" s="57" t="str">
        <f t="shared" si="15"/>
        <v/>
      </c>
      <c r="S18" s="63">
        <f t="shared" si="16"/>
        <v>1.8333333333333333</v>
      </c>
      <c r="T18" s="58"/>
      <c r="U18" s="54">
        <f t="shared" si="17"/>
        <v>11.45</v>
      </c>
      <c r="V18" s="56" t="str">
        <f t="shared" si="6"/>
        <v/>
      </c>
      <c r="W18" s="56" t="str">
        <f t="shared" si="7"/>
        <v/>
      </c>
      <c r="X18" s="56" t="str">
        <f t="shared" si="8"/>
        <v/>
      </c>
      <c r="Y18" s="59"/>
      <c r="Z18" s="163" t="str">
        <f t="shared" ref="Z18:Z23" si="21">C3</f>
        <v>Lexen, Johanna</v>
      </c>
      <c r="AA18" s="164"/>
      <c r="AB18" s="165"/>
      <c r="AC18" s="91">
        <f t="shared" ref="AC18:AC23" ca="1" si="22">SUMIF(C:O,Z18,T:T)</f>
        <v>0</v>
      </c>
      <c r="AD18" s="92" t="e">
        <f>SUMIF($C:$C,$Z18,#REF!)</f>
        <v>#REF!</v>
      </c>
      <c r="AE18" s="127" t="e">
        <f>SUMIF($C:$C,$Z18,#REF!)</f>
        <v>#REF!</v>
      </c>
      <c r="AF18" s="92">
        <f t="shared" ref="AF18:AF23" si="23">SUMIF($C:$C,$Z18,U:U)</f>
        <v>18.71</v>
      </c>
      <c r="AG18" s="93">
        <f ca="1">IF(AF18&gt;0,AC18/AF18,"")</f>
        <v>0</v>
      </c>
      <c r="AH18" s="93">
        <f t="shared" ref="AH18:AH23" ca="1" si="24">SUMIF(C3:W20,Z18,W3:W20)/AI18</f>
        <v>0</v>
      </c>
      <c r="AI18" s="94">
        <f t="shared" ref="AI18:AI23" si="25">COUNTIF(C:C,Z18)</f>
        <v>3</v>
      </c>
    </row>
    <row r="19" spans="1:35" x14ac:dyDescent="0.2">
      <c r="A19" s="51">
        <v>17</v>
      </c>
      <c r="B19" s="53" t="s">
        <v>27</v>
      </c>
      <c r="C19" s="52" t="str">
        <f t="shared" si="19"/>
        <v>Lexen, Laura - Einlauf nach Zielschluß</v>
      </c>
      <c r="D19" s="51" t="str">
        <f t="shared" si="1"/>
        <v>LL</v>
      </c>
      <c r="E19" s="53" t="s">
        <v>13</v>
      </c>
      <c r="F19" s="140">
        <v>2</v>
      </c>
      <c r="G19" s="143">
        <f>VLOOKUP(E19&amp;F19,CoursesBasis!F$2:K$24,6,FALSE)</f>
        <v>10.815000000000001</v>
      </c>
      <c r="H19" s="51" t="str">
        <f t="shared" si="13"/>
        <v>LD2LL</v>
      </c>
      <c r="I19" s="51">
        <f t="shared" si="20"/>
        <v>3</v>
      </c>
      <c r="J19" s="54">
        <f t="shared" si="2"/>
        <v>1.0700415999999999</v>
      </c>
      <c r="K19" s="54">
        <f t="shared" si="3"/>
        <v>1.3</v>
      </c>
      <c r="L19" s="54">
        <f>VLOOKUP(N19-Parameters!$C$28,Zeit,2)</f>
        <v>1.1200000000000001</v>
      </c>
      <c r="M19" s="55">
        <f t="shared" si="4"/>
        <v>1.5579805696000002</v>
      </c>
      <c r="N19" s="71">
        <f t="shared" si="14"/>
        <v>2.1366196105426583</v>
      </c>
      <c r="O19" s="72">
        <f>VLOOKUP(H19,TimeBasis!A:B,2,FALSE)*M19</f>
        <v>0.12286137398080003</v>
      </c>
      <c r="P19" s="117">
        <f t="shared" si="5"/>
        <v>1.0819309511111113E-2</v>
      </c>
      <c r="Q19" s="117" t="str">
        <f t="shared" si="18"/>
        <v/>
      </c>
      <c r="R19" s="57" t="str">
        <f t="shared" si="15"/>
        <v/>
      </c>
      <c r="S19" s="63">
        <f t="shared" si="16"/>
        <v>1.8333333333333333</v>
      </c>
      <c r="T19" s="58"/>
      <c r="U19" s="54">
        <f t="shared" si="17"/>
        <v>10.815000000000001</v>
      </c>
      <c r="V19" s="56" t="str">
        <f t="shared" si="6"/>
        <v/>
      </c>
      <c r="W19" s="56" t="str">
        <f t="shared" si="7"/>
        <v/>
      </c>
      <c r="X19" s="56" t="str">
        <f t="shared" si="8"/>
        <v/>
      </c>
      <c r="Y19" s="59"/>
      <c r="Z19" s="163" t="str">
        <f t="shared" si="21"/>
        <v>Baath, Ole</v>
      </c>
      <c r="AA19" s="164"/>
      <c r="AB19" s="165"/>
      <c r="AC19" s="91">
        <f t="shared" ca="1" si="22"/>
        <v>0</v>
      </c>
      <c r="AD19" s="92" t="e">
        <f>SUMIF($C:$C,$Z19,#REF!)</f>
        <v>#REF!</v>
      </c>
      <c r="AE19" s="127" t="e">
        <f>SUMIF($C:$C,$Z19,#REF!)</f>
        <v>#REF!</v>
      </c>
      <c r="AF19" s="92">
        <f t="shared" si="23"/>
        <v>9.879999999999999</v>
      </c>
      <c r="AG19" s="93">
        <f t="shared" ref="AG19:AG23" ca="1" si="26">IF(AF19&gt;0,AC19/AF19,"")</f>
        <v>0</v>
      </c>
      <c r="AH19" s="93">
        <f t="shared" ca="1" si="24"/>
        <v>0</v>
      </c>
      <c r="AI19" s="94">
        <f t="shared" si="25"/>
        <v>2</v>
      </c>
    </row>
    <row r="20" spans="1:35" x14ac:dyDescent="0.2">
      <c r="A20" s="51">
        <v>18</v>
      </c>
      <c r="B20" s="53" t="s">
        <v>28</v>
      </c>
      <c r="C20" s="52" t="str">
        <f t="shared" si="19"/>
        <v>Lexen, Laetitia - Einlauf nach Zielschluß</v>
      </c>
      <c r="D20" s="51" t="str">
        <f t="shared" si="1"/>
        <v>LT</v>
      </c>
      <c r="E20" s="53" t="s">
        <v>13</v>
      </c>
      <c r="F20" s="140">
        <v>3</v>
      </c>
      <c r="G20" s="143">
        <f>VLOOKUP(E20&amp;F20,CoursesBasis!F$2:K$24,6,FALSE)</f>
        <v>11.095000000000001</v>
      </c>
      <c r="H20" s="51" t="str">
        <f t="shared" si="13"/>
        <v>LD3LT</v>
      </c>
      <c r="I20" s="51">
        <f t="shared" si="20"/>
        <v>3</v>
      </c>
      <c r="J20" s="54">
        <f t="shared" si="2"/>
        <v>1.0737744008333332</v>
      </c>
      <c r="K20" s="54">
        <f t="shared" si="3"/>
        <v>1.3</v>
      </c>
      <c r="L20" s="54">
        <f>VLOOKUP(N20-Parameters!$C$28,Zeit,2)</f>
        <v>1</v>
      </c>
      <c r="M20" s="55">
        <f t="shared" si="4"/>
        <v>1.3959067210833331</v>
      </c>
      <c r="N20" s="71">
        <f t="shared" si="14"/>
        <v>2.2594809845234582</v>
      </c>
      <c r="O20" s="72">
        <f>VLOOKUP(H20,TimeBasis!A:B,2,FALSE)*M20</f>
        <v>0.11857682319539993</v>
      </c>
      <c r="P20" s="117">
        <f t="shared" si="5"/>
        <v>1.0178486507899303E-2</v>
      </c>
      <c r="Q20" s="117" t="str">
        <f t="shared" si="18"/>
        <v/>
      </c>
      <c r="R20" s="57" t="str">
        <f t="shared" si="15"/>
        <v/>
      </c>
      <c r="S20" s="63">
        <f t="shared" si="16"/>
        <v>1.8333333333333333</v>
      </c>
      <c r="T20" s="58"/>
      <c r="U20" s="54">
        <f t="shared" si="17"/>
        <v>11.095000000000001</v>
      </c>
      <c r="V20" s="56" t="str">
        <f t="shared" si="6"/>
        <v/>
      </c>
      <c r="W20" s="56" t="str">
        <f t="shared" si="7"/>
        <v/>
      </c>
      <c r="X20" s="56" t="str">
        <f t="shared" si="8"/>
        <v/>
      </c>
      <c r="Y20" s="59"/>
      <c r="Z20" s="163" t="str">
        <f t="shared" si="21"/>
        <v>Irrlinger, Kilian</v>
      </c>
      <c r="AA20" s="164"/>
      <c r="AB20" s="165"/>
      <c r="AC20" s="91">
        <f t="shared" ca="1" si="22"/>
        <v>0</v>
      </c>
      <c r="AD20" s="92" t="e">
        <f>SUMIF($C:$C,$Z20,#REF!)</f>
        <v>#REF!</v>
      </c>
      <c r="AE20" s="127" t="e">
        <f>SUMIF($C:$C,$Z20,#REF!)</f>
        <v>#REF!</v>
      </c>
      <c r="AF20" s="92">
        <f t="shared" si="23"/>
        <v>14.794999999999998</v>
      </c>
      <c r="AG20" s="93">
        <f t="shared" ca="1" si="26"/>
        <v>0</v>
      </c>
      <c r="AH20" s="93">
        <f t="shared" ca="1" si="24"/>
        <v>0</v>
      </c>
      <c r="AI20" s="94">
        <f t="shared" si="25"/>
        <v>2</v>
      </c>
    </row>
    <row r="21" spans="1:35" x14ac:dyDescent="0.2">
      <c r="A21" s="101"/>
      <c r="B21" s="101"/>
      <c r="C21" s="102"/>
      <c r="D21" s="101"/>
      <c r="E21" s="101"/>
      <c r="F21" s="141"/>
      <c r="G21" s="137"/>
      <c r="H21" s="101"/>
      <c r="I21" s="103"/>
      <c r="J21" s="104"/>
      <c r="K21" s="104"/>
      <c r="L21" s="105"/>
      <c r="M21" s="105"/>
      <c r="N21" s="106">
        <f t="shared" si="14"/>
        <v>2.3780578077188581</v>
      </c>
      <c r="O21" s="106">
        <f>SUM(O3:O20)</f>
        <v>1.0030578077188583</v>
      </c>
      <c r="P21" s="106"/>
      <c r="Q21" s="107"/>
      <c r="R21" s="108"/>
      <c r="S21" s="109" t="e">
        <f>IF(AND(UPPER(MID($E21,2,1))="T",#REF!+#REF!&lt;Twilight),Twilight,#REF!+#REF!)</f>
        <v>#REF!</v>
      </c>
      <c r="T21" s="106">
        <f>SUM(T3:T20)</f>
        <v>0</v>
      </c>
      <c r="U21" s="110">
        <f>AVERAGE(U3:U20)</f>
        <v>7.0083333333333337</v>
      </c>
      <c r="V21" s="111"/>
      <c r="W21" s="111"/>
      <c r="X21" s="111"/>
      <c r="Y21" s="59"/>
      <c r="Z21" s="163" t="str">
        <f t="shared" si="21"/>
        <v>Mörtl, Simone</v>
      </c>
      <c r="AA21" s="164"/>
      <c r="AB21" s="165"/>
      <c r="AC21" s="91">
        <f t="shared" ca="1" si="22"/>
        <v>0</v>
      </c>
      <c r="AD21" s="92" t="e">
        <f>SUMIF($C:$C,$Z21,#REF!)</f>
        <v>#REF!</v>
      </c>
      <c r="AE21" s="127" t="e">
        <f>SUMIF($C:$C,$Z21,#REF!)</f>
        <v>#REF!</v>
      </c>
      <c r="AF21" s="92">
        <f t="shared" si="23"/>
        <v>14.035</v>
      </c>
      <c r="AG21" s="93">
        <f t="shared" ca="1" si="26"/>
        <v>0</v>
      </c>
      <c r="AH21" s="93">
        <f t="shared" ca="1" si="24"/>
        <v>0</v>
      </c>
      <c r="AI21" s="94">
        <f t="shared" si="25"/>
        <v>2</v>
      </c>
    </row>
    <row r="22" spans="1:35" x14ac:dyDescent="0.2">
      <c r="Y22" s="59"/>
      <c r="Z22" s="163" t="str">
        <f t="shared" si="21"/>
        <v>Lexen, Laura</v>
      </c>
      <c r="AA22" s="164"/>
      <c r="AB22" s="165"/>
      <c r="AC22" s="91">
        <f t="shared" ca="1" si="22"/>
        <v>0</v>
      </c>
      <c r="AD22" s="92" t="e">
        <f>SUMIF($C:$C,$Z22,#REF!)</f>
        <v>#REF!</v>
      </c>
      <c r="AE22" s="127" t="e">
        <f>SUMIF($C:$C,$Z22,#REF!)</f>
        <v>#REF!</v>
      </c>
      <c r="AF22" s="92">
        <f t="shared" si="23"/>
        <v>10.56</v>
      </c>
      <c r="AG22" s="93">
        <f t="shared" ca="1" si="26"/>
        <v>0</v>
      </c>
      <c r="AH22" s="93">
        <f t="shared" ca="1" si="24"/>
        <v>0</v>
      </c>
      <c r="AI22" s="94">
        <f t="shared" si="25"/>
        <v>2</v>
      </c>
    </row>
    <row r="23" spans="1:35" x14ac:dyDescent="0.2">
      <c r="Y23" s="59"/>
      <c r="Z23" s="163" t="str">
        <f t="shared" si="21"/>
        <v>Lexen, Laetitia</v>
      </c>
      <c r="AA23" s="164"/>
      <c r="AB23" s="165"/>
      <c r="AC23" s="91">
        <f t="shared" ca="1" si="22"/>
        <v>0</v>
      </c>
      <c r="AD23" s="92" t="e">
        <f>SUMIF($C:$C,$Z23,#REF!)</f>
        <v>#REF!</v>
      </c>
      <c r="AE23" s="127" t="e">
        <f>SUMIF($C:$C,$Z23,#REF!)</f>
        <v>#REF!</v>
      </c>
      <c r="AF23" s="92">
        <f t="shared" si="23"/>
        <v>7.8649999999999993</v>
      </c>
      <c r="AG23" s="93">
        <f t="shared" ca="1" si="26"/>
        <v>0</v>
      </c>
      <c r="AH23" s="93">
        <f t="shared" ca="1" si="24"/>
        <v>0</v>
      </c>
      <c r="AI23" s="94">
        <f t="shared" si="25"/>
        <v>2</v>
      </c>
    </row>
    <row r="24" spans="1:35" x14ac:dyDescent="0.2">
      <c r="Y24" s="59"/>
      <c r="Z24" s="166"/>
      <c r="AA24" s="167"/>
      <c r="AB24" s="168"/>
      <c r="AC24" s="95">
        <f ca="1">SUM(AC18:AC23)+SUM(Q:Q)</f>
        <v>0</v>
      </c>
    </row>
    <row r="25" spans="1:35" x14ac:dyDescent="0.2">
      <c r="Y25" s="59"/>
    </row>
    <row r="26" spans="1:35" x14ac:dyDescent="0.2">
      <c r="Y26" s="59"/>
      <c r="Z26" s="157" t="s">
        <v>39</v>
      </c>
      <c r="AA26" s="158"/>
      <c r="AB26" s="159"/>
      <c r="AC26" s="91">
        <f>Startzeit</f>
        <v>1.375</v>
      </c>
    </row>
    <row r="27" spans="1:35" x14ac:dyDescent="0.2">
      <c r="Y27" s="59"/>
      <c r="Z27" s="157" t="s">
        <v>78</v>
      </c>
      <c r="AA27" s="158"/>
      <c r="AB27" s="159"/>
      <c r="AC27" s="91">
        <f>Dämmerungszeit</f>
        <v>1.8333333333333333</v>
      </c>
    </row>
    <row r="28" spans="1:35" x14ac:dyDescent="0.2">
      <c r="Y28" s="59"/>
      <c r="Z28" s="157" t="s">
        <v>79</v>
      </c>
      <c r="AA28" s="158"/>
      <c r="AB28" s="159"/>
      <c r="AC28" s="91">
        <f>Zielzeit</f>
        <v>1.875</v>
      </c>
    </row>
    <row r="29" spans="1:35" x14ac:dyDescent="0.2">
      <c r="Y29" s="59"/>
      <c r="AC29" s="60"/>
    </row>
    <row r="30" spans="1:35" x14ac:dyDescent="0.2">
      <c r="Y30" s="59"/>
      <c r="AB30" s="61"/>
    </row>
    <row r="31" spans="1:35" x14ac:dyDescent="0.2">
      <c r="Y31" s="59"/>
      <c r="AB31" s="61"/>
    </row>
    <row r="32" spans="1:35" x14ac:dyDescent="0.2">
      <c r="Y32" s="59"/>
      <c r="AB32" s="61"/>
    </row>
    <row r="33" spans="25:28" x14ac:dyDescent="0.2">
      <c r="AB33" s="61"/>
    </row>
    <row r="34" spans="25:28" x14ac:dyDescent="0.2">
      <c r="AB34" s="61"/>
    </row>
    <row r="35" spans="25:28" x14ac:dyDescent="0.2">
      <c r="AB35" s="61"/>
    </row>
    <row r="36" spans="25:28" x14ac:dyDescent="0.2">
      <c r="AB36" s="61"/>
    </row>
    <row r="37" spans="25:28" x14ac:dyDescent="0.2">
      <c r="AB37" s="61"/>
    </row>
    <row r="38" spans="25:28" x14ac:dyDescent="0.2">
      <c r="AB38" s="61"/>
    </row>
    <row r="39" spans="25:28" x14ac:dyDescent="0.2">
      <c r="AB39" s="61"/>
    </row>
    <row r="40" spans="25:28" x14ac:dyDescent="0.2">
      <c r="AB40" s="61"/>
    </row>
    <row r="41" spans="25:28" x14ac:dyDescent="0.2">
      <c r="Y41" s="112"/>
      <c r="Z41" s="113"/>
      <c r="AA41" s="113"/>
      <c r="AB41" s="113"/>
    </row>
  </sheetData>
  <mergeCells count="19">
    <mergeCell ref="AD1:AI1"/>
    <mergeCell ref="Z2:AA2"/>
    <mergeCell ref="Z27:AB27"/>
    <mergeCell ref="Z28:AB28"/>
    <mergeCell ref="Z17:AB17"/>
    <mergeCell ref="Z18:AB18"/>
    <mergeCell ref="Z19:AB19"/>
    <mergeCell ref="Z20:AB20"/>
    <mergeCell ref="Z21:AB21"/>
    <mergeCell ref="Z22:AB22"/>
    <mergeCell ref="Z23:AB23"/>
    <mergeCell ref="Z24:AB24"/>
    <mergeCell ref="Z26:AB26"/>
    <mergeCell ref="J1:M1"/>
    <mergeCell ref="V1:X1"/>
    <mergeCell ref="A1:D1"/>
    <mergeCell ref="E1:H1"/>
    <mergeCell ref="T1:U1"/>
    <mergeCell ref="N1:Q1"/>
  </mergeCells>
  <phoneticPr fontId="1" type="noConversion"/>
  <conditionalFormatting sqref="E4:E20 B3:B20 N3:Q20">
    <cfRule type="expression" dxfId="14" priority="28" stopIfTrue="1">
      <formula>OR(AND($N2&lt;Twilight,$N3&gt;=Twilight),AND($N1&lt;Twilight,$N2&gt;=Twilight))</formula>
    </cfRule>
  </conditionalFormatting>
  <conditionalFormatting sqref="AC4:AC14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:AC14">
    <cfRule type="colorScale" priority="20">
      <colorScale>
        <cfvo type="num" val="-3"/>
        <cfvo type="num" val="0"/>
        <cfvo type="num" val="3"/>
        <color rgb="FF63BE7B"/>
        <color rgb="FFFFEB84"/>
        <color rgb="FFF8696B"/>
      </colorScale>
    </cfRule>
  </conditionalFormatting>
  <conditionalFormatting sqref="A9:A11 T9:T19 E9:E19 L9:O11 A12:B19 B3:B19 D3:D19 N3:Q11 L12:M19 O12:Q19 N12:N20 I9:I19 V9:W19">
    <cfRule type="expression" dxfId="13" priority="29" stopIfTrue="1">
      <formula>$S4&gt;Endzeit</formula>
    </cfRule>
  </conditionalFormatting>
  <conditionalFormatting sqref="C3:C20">
    <cfRule type="containsText" dxfId="12" priority="5" operator="containsText" text="Zielschluß">
      <formula>NOT(ISERROR(SEARCH("Zielschluß",C3)))</formula>
    </cfRule>
    <cfRule type="expression" dxfId="11" priority="19" stopIfTrue="1">
      <formula>$S4&gt;Endzeit</formula>
    </cfRule>
  </conditionalFormatting>
  <conditionalFormatting sqref="O17">
    <cfRule type="expression" dxfId="10" priority="17" stopIfTrue="1">
      <formula>OR(AND($N16&lt;Twilight,$N17&gt;=Twilight),AND($N15&lt;Twilight,$N16&gt;=Twilight))</formula>
    </cfRule>
  </conditionalFormatting>
  <conditionalFormatting sqref="AD3:AI14">
    <cfRule type="expression" dxfId="9" priority="14" stopIfTrue="1">
      <formula>OR(AND($N2&lt;Twilight,$N3&gt;=Twilight),AND($N1&lt;Twilight,$N2&gt;=Twilight))</formula>
    </cfRule>
  </conditionalFormatting>
  <conditionalFormatting sqref="AD3:AI14">
    <cfRule type="expression" dxfId="8" priority="15" stopIfTrue="1">
      <formula>$S4&gt;Endzeit</formula>
    </cfRule>
  </conditionalFormatting>
  <conditionalFormatting sqref="AD3:AI14">
    <cfRule type="expression" dxfId="7" priority="13" stopIfTrue="1">
      <formula>OR(AND($N2&lt;Twilight,$N3&gt;=Twilight),AND($N1&lt;Twilight,$N2&gt;=Twilight))</formula>
    </cfRule>
  </conditionalFormatting>
  <conditionalFormatting sqref="V3:V20">
    <cfRule type="cellIs" dxfId="6" priority="36" stopIfTrue="1" operator="greaterThan">
      <formula>#REF!</formula>
    </cfRule>
    <cfRule type="cellIs" dxfId="5" priority="37" stopIfTrue="1" operator="lessThanOrEqual">
      <formula>$U3</formula>
    </cfRule>
  </conditionalFormatting>
  <conditionalFormatting sqref="Q21:S21">
    <cfRule type="expression" dxfId="4" priority="40" stopIfTrue="1">
      <formula>OR(AND(#REF!&lt;Twilight,$N21&gt;=Twilight),AND(#REF!&lt;Twilight,#REF!&gt;=Twilight))</formula>
    </cfRule>
  </conditionalFormatting>
  <conditionalFormatting sqref="T20 A20:B20 D20:E20 L20:M20 O20:Q20 I20 V20:W20">
    <cfRule type="expression" dxfId="3" priority="44" stopIfTrue="1">
      <formula>#REF!&gt;Endzeit</formula>
    </cfRule>
  </conditionalFormatting>
  <conditionalFormatting sqref="X3:X20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:F20">
    <cfRule type="expression" dxfId="2" priority="1" stopIfTrue="1">
      <formula>OR(AND($N3&lt;Twilight,$N4&gt;=Twilight),AND($N2&lt;Twilight,$N3&gt;=Twilight))</formula>
    </cfRule>
  </conditionalFormatting>
  <conditionalFormatting sqref="F9:F19">
    <cfRule type="expression" dxfId="1" priority="2" stopIfTrue="1">
      <formula>$S10&gt;Endzeit</formula>
    </cfRule>
  </conditionalFormatting>
  <conditionalFormatting sqref="F20">
    <cfRule type="expression" dxfId="0" priority="3" stopIfTrue="1">
      <formula>#REF!&gt;Endzeit</formula>
    </cfRule>
  </conditionalFormatting>
  <printOptions horizontalCentered="1"/>
  <pageMargins left="0.19685039370078741" right="0.19685039370078741" top="1.1811023622047245" bottom="0.43307086614173229" header="0.31496062992125984" footer="0.15748031496062992"/>
  <pageSetup paperSize="9" scale="140" orientation="landscape" horizontalDpi="4294967293" r:id="rId1"/>
  <headerFooter alignWithMargins="0">
    <oddHeader>&amp;L&amp;8 12h-OL am 16.05.2015&amp;C&amp;"Arial,Fett"&amp;18Team 208: Lexendorfer Grünschnäbel&amp;R&amp;8Karolinenfield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N3" sqref="N3"/>
    </sheetView>
  </sheetViews>
  <sheetFormatPr baseColWidth="10" defaultColWidth="9.140625" defaultRowHeight="12.75" x14ac:dyDescent="0.2"/>
  <cols>
    <col min="1" max="1" width="18.85546875" bestFit="1" customWidth="1"/>
    <col min="2" max="2" width="5.7109375" bestFit="1" customWidth="1"/>
    <col min="3" max="3" width="2" bestFit="1" customWidth="1"/>
    <col min="4" max="4" width="13.5703125" bestFit="1" customWidth="1"/>
    <col min="5" max="5" width="1.140625" customWidth="1"/>
    <col min="6" max="6" width="5.7109375" bestFit="1" customWidth="1"/>
    <col min="7" max="7" width="5.5703125" bestFit="1" customWidth="1"/>
    <col min="8" max="8" width="6.140625" bestFit="1" customWidth="1"/>
    <col min="9" max="9" width="6" bestFit="1" customWidth="1"/>
    <col min="10" max="10" width="6.5703125" bestFit="1" customWidth="1"/>
    <col min="11" max="11" width="7.5703125" bestFit="1" customWidth="1"/>
    <col min="12" max="12" width="1" customWidth="1"/>
    <col min="13" max="18" width="7.140625" bestFit="1" customWidth="1"/>
  </cols>
  <sheetData>
    <row r="1" spans="1:18" ht="15.75" x14ac:dyDescent="0.25">
      <c r="A1" s="3"/>
      <c r="B1" s="3"/>
      <c r="C1" s="3"/>
      <c r="D1" s="3"/>
      <c r="E1" s="7"/>
      <c r="F1" s="3"/>
      <c r="G1" s="3"/>
      <c r="H1" s="3"/>
      <c r="I1" s="3"/>
      <c r="J1" s="3"/>
      <c r="K1" s="3"/>
      <c r="L1" s="7"/>
      <c r="M1" s="169" t="s">
        <v>63</v>
      </c>
      <c r="N1" s="170"/>
      <c r="O1" s="170"/>
      <c r="P1" s="170"/>
      <c r="Q1" s="170"/>
      <c r="R1" s="171"/>
    </row>
    <row r="2" spans="1:18" x14ac:dyDescent="0.2">
      <c r="A2" s="1" t="s">
        <v>30</v>
      </c>
      <c r="B2" s="1" t="s">
        <v>105</v>
      </c>
      <c r="C2" s="1" t="s">
        <v>29</v>
      </c>
      <c r="D2" s="1" t="s">
        <v>33</v>
      </c>
      <c r="E2" s="11"/>
      <c r="F2" s="1" t="s">
        <v>32</v>
      </c>
      <c r="G2" s="1" t="s">
        <v>59</v>
      </c>
      <c r="H2" s="1" t="s">
        <v>58</v>
      </c>
      <c r="I2" s="1" t="s">
        <v>21</v>
      </c>
      <c r="J2" s="1" t="s">
        <v>22</v>
      </c>
      <c r="K2" s="1" t="s">
        <v>47</v>
      </c>
      <c r="L2" s="11"/>
      <c r="M2" s="124" t="s">
        <v>96</v>
      </c>
      <c r="N2" s="124" t="s">
        <v>97</v>
      </c>
      <c r="O2" s="124" t="s">
        <v>103</v>
      </c>
      <c r="P2" s="124" t="s">
        <v>104</v>
      </c>
      <c r="Q2" s="124" t="s">
        <v>122</v>
      </c>
      <c r="R2" s="124" t="s">
        <v>15</v>
      </c>
    </row>
    <row r="3" spans="1:18" x14ac:dyDescent="0.2">
      <c r="A3" s="1" t="s">
        <v>2</v>
      </c>
      <c r="B3" s="1" t="s">
        <v>9</v>
      </c>
      <c r="C3" s="35">
        <v>1</v>
      </c>
      <c r="D3" s="2" t="s">
        <v>26</v>
      </c>
      <c r="E3" s="7"/>
      <c r="F3" s="1" t="s">
        <v>124</v>
      </c>
      <c r="G3" s="120">
        <v>5.0999999999999996</v>
      </c>
      <c r="H3" s="120"/>
      <c r="I3" s="35">
        <v>80</v>
      </c>
      <c r="J3" s="35"/>
      <c r="K3" s="8">
        <f t="shared" ref="K3:K20" si="0">SUM(G3:H3)/COUNTA(G3:H3)+SUM(I3:J3)/COUNTA(I3:J3)*Climbfaktor/1000</f>
        <v>5.66</v>
      </c>
      <c r="L3" s="7"/>
      <c r="M3" s="73">
        <f t="shared" ref="M3:R13" si="1">VLOOKUP(M$2,Basis,2,FALSE)*VLOOKUP($B3,Schwierigkeit,2,FALSE)*$K3</f>
        <v>3.3409722222222223E-2</v>
      </c>
      <c r="N3" s="73">
        <f t="shared" si="1"/>
        <v>3.7340277777777778E-2</v>
      </c>
      <c r="O3" s="73">
        <f t="shared" si="1"/>
        <v>3.5374999999999997E-2</v>
      </c>
      <c r="P3" s="73">
        <f t="shared" si="1"/>
        <v>3.7340277777777778E-2</v>
      </c>
      <c r="Q3" s="73">
        <f t="shared" si="1"/>
        <v>3.9305555555555552E-2</v>
      </c>
      <c r="R3" s="73">
        <f t="shared" si="1"/>
        <v>4.1270833333333333E-2</v>
      </c>
    </row>
    <row r="4" spans="1:18" x14ac:dyDescent="0.2">
      <c r="A4" s="1" t="s">
        <v>3</v>
      </c>
      <c r="B4" s="1" t="s">
        <v>10</v>
      </c>
      <c r="C4" s="35">
        <v>4</v>
      </c>
      <c r="D4" s="2" t="s">
        <v>27</v>
      </c>
      <c r="E4" s="7"/>
      <c r="F4" s="1" t="s">
        <v>106</v>
      </c>
      <c r="G4" s="120">
        <v>3.5</v>
      </c>
      <c r="H4" s="120"/>
      <c r="I4" s="35">
        <v>55</v>
      </c>
      <c r="J4" s="35"/>
      <c r="K4" s="8">
        <f t="shared" si="0"/>
        <v>3.8849999999999998</v>
      </c>
      <c r="L4" s="7"/>
      <c r="M4" s="73">
        <f t="shared" si="1"/>
        <v>2.0639062499999999E-2</v>
      </c>
      <c r="N4" s="73">
        <f t="shared" si="1"/>
        <v>2.3067187499999999E-2</v>
      </c>
      <c r="O4" s="73">
        <f t="shared" si="1"/>
        <v>2.1853124999999998E-2</v>
      </c>
      <c r="P4" s="73">
        <f t="shared" si="1"/>
        <v>2.3067187499999999E-2</v>
      </c>
      <c r="Q4" s="73">
        <f t="shared" si="1"/>
        <v>2.4281249999999997E-2</v>
      </c>
      <c r="R4" s="73">
        <f t="shared" si="1"/>
        <v>2.5495312499999999E-2</v>
      </c>
    </row>
    <row r="5" spans="1:18" x14ac:dyDescent="0.2">
      <c r="A5" s="1" t="s">
        <v>3</v>
      </c>
      <c r="B5" s="1" t="s">
        <v>10</v>
      </c>
      <c r="C5" s="35">
        <v>4</v>
      </c>
      <c r="D5" s="2" t="s">
        <v>27</v>
      </c>
      <c r="E5" s="7"/>
      <c r="F5" s="1" t="s">
        <v>107</v>
      </c>
      <c r="G5" s="120">
        <v>3.8</v>
      </c>
      <c r="H5" s="120"/>
      <c r="I5" s="35">
        <v>40</v>
      </c>
      <c r="J5" s="35"/>
      <c r="K5" s="8">
        <f t="shared" si="0"/>
        <v>4.08</v>
      </c>
      <c r="L5" s="7"/>
      <c r="M5" s="73">
        <f t="shared" si="1"/>
        <v>2.1675000000000003E-2</v>
      </c>
      <c r="N5" s="73">
        <f t="shared" si="1"/>
        <v>2.4225E-2</v>
      </c>
      <c r="O5" s="73">
        <f t="shared" si="1"/>
        <v>2.2949999999999998E-2</v>
      </c>
      <c r="P5" s="73">
        <f t="shared" si="1"/>
        <v>2.4225E-2</v>
      </c>
      <c r="Q5" s="73">
        <f t="shared" si="1"/>
        <v>2.5499999999999998E-2</v>
      </c>
      <c r="R5" s="73">
        <f t="shared" si="1"/>
        <v>2.6775E-2</v>
      </c>
    </row>
    <row r="6" spans="1:18" x14ac:dyDescent="0.2">
      <c r="A6" s="1" t="s">
        <v>3</v>
      </c>
      <c r="B6" s="1" t="s">
        <v>10</v>
      </c>
      <c r="C6" s="35">
        <v>4</v>
      </c>
      <c r="D6" s="2" t="s">
        <v>27</v>
      </c>
      <c r="E6" s="7"/>
      <c r="F6" s="1" t="s">
        <v>108</v>
      </c>
      <c r="G6" s="120">
        <v>3.4</v>
      </c>
      <c r="H6" s="120"/>
      <c r="I6" s="35">
        <v>45</v>
      </c>
      <c r="J6" s="35"/>
      <c r="K6" s="8">
        <f t="shared" si="0"/>
        <v>3.7149999999999999</v>
      </c>
      <c r="L6" s="7"/>
      <c r="M6" s="73">
        <f t="shared" si="1"/>
        <v>1.9735937500000002E-2</v>
      </c>
      <c r="N6" s="73">
        <f t="shared" si="1"/>
        <v>2.2057812499999999E-2</v>
      </c>
      <c r="O6" s="73">
        <f t="shared" si="1"/>
        <v>2.0896874999999999E-2</v>
      </c>
      <c r="P6" s="73">
        <f t="shared" si="1"/>
        <v>2.2057812499999999E-2</v>
      </c>
      <c r="Q6" s="73">
        <f t="shared" si="1"/>
        <v>2.3218749999999996E-2</v>
      </c>
      <c r="R6" s="73">
        <f t="shared" si="1"/>
        <v>2.4379687499999997E-2</v>
      </c>
    </row>
    <row r="7" spans="1:18" x14ac:dyDescent="0.2">
      <c r="A7" s="1" t="s">
        <v>3</v>
      </c>
      <c r="B7" s="1" t="s">
        <v>10</v>
      </c>
      <c r="C7" s="35">
        <v>4</v>
      </c>
      <c r="D7" s="2" t="s">
        <v>27</v>
      </c>
      <c r="E7" s="7"/>
      <c r="F7" s="1" t="s">
        <v>109</v>
      </c>
      <c r="G7" s="120">
        <v>3.8</v>
      </c>
      <c r="H7" s="120"/>
      <c r="I7" s="35">
        <v>50</v>
      </c>
      <c r="J7" s="35"/>
      <c r="K7" s="8">
        <f t="shared" si="0"/>
        <v>4.1499999999999995</v>
      </c>
      <c r="L7" s="7"/>
      <c r="M7" s="73">
        <f t="shared" si="1"/>
        <v>2.2046874999999997E-2</v>
      </c>
      <c r="N7" s="73">
        <f t="shared" si="1"/>
        <v>2.4640624999999996E-2</v>
      </c>
      <c r="O7" s="73">
        <f t="shared" si="1"/>
        <v>2.3343749999999996E-2</v>
      </c>
      <c r="P7" s="73">
        <f t="shared" si="1"/>
        <v>2.4640624999999996E-2</v>
      </c>
      <c r="Q7" s="73">
        <f t="shared" si="1"/>
        <v>2.5937499999999995E-2</v>
      </c>
      <c r="R7" s="73">
        <f t="shared" si="1"/>
        <v>2.7234374999999995E-2</v>
      </c>
    </row>
    <row r="8" spans="1:18" x14ac:dyDescent="0.2">
      <c r="A8" s="1" t="s">
        <v>4</v>
      </c>
      <c r="B8" s="1" t="s">
        <v>11</v>
      </c>
      <c r="C8" s="35">
        <v>4</v>
      </c>
      <c r="D8" s="2" t="s">
        <v>26</v>
      </c>
      <c r="E8" s="7"/>
      <c r="F8" s="1" t="s">
        <v>110</v>
      </c>
      <c r="G8" s="120">
        <v>5.4</v>
      </c>
      <c r="H8" s="120"/>
      <c r="I8" s="35">
        <v>85</v>
      </c>
      <c r="J8" s="35"/>
      <c r="K8" s="8">
        <f t="shared" si="0"/>
        <v>5.9950000000000001</v>
      </c>
      <c r="L8" s="7"/>
      <c r="M8" s="73">
        <f t="shared" si="1"/>
        <v>3.5387152777777778E-2</v>
      </c>
      <c r="N8" s="73">
        <f t="shared" si="1"/>
        <v>3.9550347222222219E-2</v>
      </c>
      <c r="O8" s="73">
        <f t="shared" si="1"/>
        <v>3.7468749999999995E-2</v>
      </c>
      <c r="P8" s="73">
        <f t="shared" si="1"/>
        <v>3.9550347222222219E-2</v>
      </c>
      <c r="Q8" s="73">
        <f t="shared" si="1"/>
        <v>4.1631944444444444E-2</v>
      </c>
      <c r="R8" s="73">
        <f t="shared" si="1"/>
        <v>4.3713541666666661E-2</v>
      </c>
    </row>
    <row r="9" spans="1:18" x14ac:dyDescent="0.2">
      <c r="A9" s="1" t="s">
        <v>4</v>
      </c>
      <c r="B9" s="1" t="s">
        <v>11</v>
      </c>
      <c r="C9" s="35">
        <v>4</v>
      </c>
      <c r="D9" s="2" t="s">
        <v>26</v>
      </c>
      <c r="E9" s="7"/>
      <c r="F9" s="1" t="s">
        <v>111</v>
      </c>
      <c r="G9" s="120">
        <v>5.5</v>
      </c>
      <c r="H9" s="120"/>
      <c r="I9" s="35">
        <v>145</v>
      </c>
      <c r="J9" s="35"/>
      <c r="K9" s="8">
        <f t="shared" si="0"/>
        <v>6.5149999999999997</v>
      </c>
      <c r="L9" s="7"/>
      <c r="M9" s="73">
        <f t="shared" si="1"/>
        <v>3.8456597222222222E-2</v>
      </c>
      <c r="N9" s="73">
        <f t="shared" si="1"/>
        <v>4.2980902777777774E-2</v>
      </c>
      <c r="O9" s="73">
        <f t="shared" si="1"/>
        <v>4.0718749999999998E-2</v>
      </c>
      <c r="P9" s="73">
        <f t="shared" si="1"/>
        <v>4.2980902777777774E-2</v>
      </c>
      <c r="Q9" s="73">
        <f t="shared" si="1"/>
        <v>4.524305555555555E-2</v>
      </c>
      <c r="R9" s="73">
        <f t="shared" si="1"/>
        <v>4.7505208333333326E-2</v>
      </c>
    </row>
    <row r="10" spans="1:18" x14ac:dyDescent="0.2">
      <c r="A10" s="1" t="s">
        <v>4</v>
      </c>
      <c r="B10" s="1" t="s">
        <v>11</v>
      </c>
      <c r="C10" s="35">
        <v>4</v>
      </c>
      <c r="D10" s="2" t="s">
        <v>26</v>
      </c>
      <c r="E10" s="7"/>
      <c r="F10" s="1" t="s">
        <v>112</v>
      </c>
      <c r="G10" s="120">
        <v>5.2</v>
      </c>
      <c r="H10" s="120"/>
      <c r="I10" s="35">
        <v>70</v>
      </c>
      <c r="J10" s="35"/>
      <c r="K10" s="8">
        <f t="shared" si="0"/>
        <v>5.69</v>
      </c>
      <c r="L10" s="7"/>
      <c r="M10" s="73">
        <f t="shared" si="1"/>
        <v>3.3586805555555557E-2</v>
      </c>
      <c r="N10" s="73">
        <f t="shared" si="1"/>
        <v>3.7538194444444443E-2</v>
      </c>
      <c r="O10" s="73">
        <f t="shared" si="1"/>
        <v>3.5562499999999997E-2</v>
      </c>
      <c r="P10" s="73">
        <f t="shared" si="1"/>
        <v>3.7538194444444443E-2</v>
      </c>
      <c r="Q10" s="73">
        <f t="shared" si="1"/>
        <v>3.951388888888889E-2</v>
      </c>
      <c r="R10" s="73">
        <f t="shared" si="1"/>
        <v>4.148958333333333E-2</v>
      </c>
    </row>
    <row r="11" spans="1:18" x14ac:dyDescent="0.2">
      <c r="A11" s="1" t="s">
        <v>4</v>
      </c>
      <c r="B11" s="1" t="s">
        <v>11</v>
      </c>
      <c r="C11" s="35">
        <v>4</v>
      </c>
      <c r="D11" s="2" t="s">
        <v>26</v>
      </c>
      <c r="E11" s="7"/>
      <c r="F11" s="1" t="s">
        <v>113</v>
      </c>
      <c r="G11" s="120">
        <v>5.5</v>
      </c>
      <c r="H11" s="120"/>
      <c r="I11" s="35">
        <v>140</v>
      </c>
      <c r="J11" s="35"/>
      <c r="K11" s="8">
        <f t="shared" si="0"/>
        <v>6.48</v>
      </c>
      <c r="L11" s="7"/>
      <c r="M11" s="73">
        <f t="shared" si="1"/>
        <v>3.8249999999999999E-2</v>
      </c>
      <c r="N11" s="73">
        <f t="shared" si="1"/>
        <v>4.2750000000000003E-2</v>
      </c>
      <c r="O11" s="73">
        <f t="shared" si="1"/>
        <v>4.0500000000000001E-2</v>
      </c>
      <c r="P11" s="73">
        <f t="shared" si="1"/>
        <v>4.2750000000000003E-2</v>
      </c>
      <c r="Q11" s="73">
        <f t="shared" si="1"/>
        <v>4.4999999999999998E-2</v>
      </c>
      <c r="R11" s="73">
        <f t="shared" si="1"/>
        <v>4.725E-2</v>
      </c>
    </row>
    <row r="12" spans="1:18" x14ac:dyDescent="0.2">
      <c r="A12" s="1" t="s">
        <v>5</v>
      </c>
      <c r="B12" s="1" t="s">
        <v>12</v>
      </c>
      <c r="C12" s="35">
        <v>4</v>
      </c>
      <c r="D12" s="2" t="s">
        <v>27</v>
      </c>
      <c r="E12" s="7"/>
      <c r="F12" s="1" t="s">
        <v>114</v>
      </c>
      <c r="G12" s="120">
        <v>7.3</v>
      </c>
      <c r="H12" s="120"/>
      <c r="I12" s="35">
        <v>140</v>
      </c>
      <c r="J12" s="35"/>
      <c r="K12" s="8">
        <f t="shared" si="0"/>
        <v>8.2799999999999994</v>
      </c>
      <c r="L12" s="7"/>
      <c r="M12" s="73">
        <f t="shared" si="1"/>
        <v>4.8874999999999995E-2</v>
      </c>
      <c r="N12" s="73">
        <f t="shared" si="1"/>
        <v>5.4624999999999993E-2</v>
      </c>
      <c r="O12" s="73">
        <f t="shared" si="1"/>
        <v>5.174999999999999E-2</v>
      </c>
      <c r="P12" s="73">
        <f t="shared" si="1"/>
        <v>5.4624999999999993E-2</v>
      </c>
      <c r="Q12" s="73">
        <f t="shared" si="1"/>
        <v>5.7499999999999996E-2</v>
      </c>
      <c r="R12" s="73">
        <f t="shared" si="1"/>
        <v>6.0374999999999991E-2</v>
      </c>
    </row>
    <row r="13" spans="1:18" x14ac:dyDescent="0.2">
      <c r="A13" s="1" t="s">
        <v>5</v>
      </c>
      <c r="B13" s="1" t="s">
        <v>12</v>
      </c>
      <c r="C13" s="35">
        <v>4</v>
      </c>
      <c r="D13" s="2" t="s">
        <v>27</v>
      </c>
      <c r="E13" s="7"/>
      <c r="F13" s="1" t="s">
        <v>115</v>
      </c>
      <c r="G13" s="120">
        <v>7.4</v>
      </c>
      <c r="H13" s="120"/>
      <c r="I13" s="35">
        <v>110</v>
      </c>
      <c r="J13" s="35"/>
      <c r="K13" s="8">
        <f t="shared" si="0"/>
        <v>8.17</v>
      </c>
      <c r="L13" s="7"/>
      <c r="M13" s="73">
        <f t="shared" si="1"/>
        <v>4.8225694444444446E-2</v>
      </c>
      <c r="N13" s="73">
        <f t="shared" si="1"/>
        <v>5.3899305555555554E-2</v>
      </c>
      <c r="O13" s="73">
        <f t="shared" si="1"/>
        <v>5.1062499999999997E-2</v>
      </c>
      <c r="P13" s="73">
        <f t="shared" si="1"/>
        <v>5.3899305555555554E-2</v>
      </c>
      <c r="Q13" s="73">
        <f t="shared" si="1"/>
        <v>5.6736111111111105E-2</v>
      </c>
      <c r="R13" s="73">
        <f t="shared" si="1"/>
        <v>5.9572916666666663E-2</v>
      </c>
    </row>
    <row r="14" spans="1:18" x14ac:dyDescent="0.2">
      <c r="A14" s="1" t="s">
        <v>5</v>
      </c>
      <c r="B14" s="1" t="s">
        <v>12</v>
      </c>
      <c r="C14" s="35">
        <v>4</v>
      </c>
      <c r="D14" s="2" t="s">
        <v>27</v>
      </c>
      <c r="E14" s="7"/>
      <c r="F14" s="1" t="s">
        <v>116</v>
      </c>
      <c r="G14" s="120">
        <v>7.4</v>
      </c>
      <c r="H14" s="120"/>
      <c r="I14" s="35">
        <v>135</v>
      </c>
      <c r="J14" s="35"/>
      <c r="K14" s="8">
        <f t="shared" si="0"/>
        <v>8.3450000000000006</v>
      </c>
      <c r="L14" s="7"/>
      <c r="M14" s="73">
        <f t="shared" ref="M14:R20" si="2">VLOOKUP(M$2,Basis,2,FALSE)*VLOOKUP($B14,Schwierigkeit,2,FALSE)*$K14</f>
        <v>4.9258680555555559E-2</v>
      </c>
      <c r="N14" s="73">
        <f t="shared" si="2"/>
        <v>5.505381944444445E-2</v>
      </c>
      <c r="O14" s="73">
        <f t="shared" si="2"/>
        <v>5.2156250000000001E-2</v>
      </c>
      <c r="P14" s="73">
        <f t="shared" si="2"/>
        <v>5.505381944444445E-2</v>
      </c>
      <c r="Q14" s="73">
        <f t="shared" si="2"/>
        <v>5.7951388888888893E-2</v>
      </c>
      <c r="R14" s="73">
        <f t="shared" si="2"/>
        <v>6.0848958333333335E-2</v>
      </c>
    </row>
    <row r="15" spans="1:18" x14ac:dyDescent="0.2">
      <c r="A15" s="1" t="s">
        <v>5</v>
      </c>
      <c r="B15" s="1" t="s">
        <v>12</v>
      </c>
      <c r="C15" s="35">
        <v>4</v>
      </c>
      <c r="D15" s="2" t="s">
        <v>27</v>
      </c>
      <c r="E15" s="7"/>
      <c r="F15" s="1" t="s">
        <v>117</v>
      </c>
      <c r="G15" s="120">
        <v>7.9</v>
      </c>
      <c r="H15" s="120"/>
      <c r="I15" s="35">
        <v>170</v>
      </c>
      <c r="J15" s="35"/>
      <c r="K15" s="8">
        <f t="shared" si="0"/>
        <v>9.09</v>
      </c>
      <c r="L15" s="7"/>
      <c r="M15" s="73">
        <f t="shared" si="2"/>
        <v>5.3656249999999996E-2</v>
      </c>
      <c r="N15" s="73">
        <f t="shared" si="2"/>
        <v>5.9968750000000001E-2</v>
      </c>
      <c r="O15" s="73">
        <f t="shared" si="2"/>
        <v>5.6812499999999995E-2</v>
      </c>
      <c r="P15" s="73">
        <f t="shared" si="2"/>
        <v>5.9968750000000001E-2</v>
      </c>
      <c r="Q15" s="73">
        <f t="shared" si="2"/>
        <v>6.3125000000000001E-2</v>
      </c>
      <c r="R15" s="73">
        <f t="shared" si="2"/>
        <v>6.6281249999999986E-2</v>
      </c>
    </row>
    <row r="16" spans="1:18" x14ac:dyDescent="0.2">
      <c r="A16" s="1" t="s">
        <v>6</v>
      </c>
      <c r="B16" s="1" t="s">
        <v>13</v>
      </c>
      <c r="C16" s="35">
        <v>3</v>
      </c>
      <c r="D16" s="2" t="s">
        <v>26</v>
      </c>
      <c r="E16" s="7"/>
      <c r="F16" s="1" t="s">
        <v>118</v>
      </c>
      <c r="G16" s="120">
        <v>9.6999999999999993</v>
      </c>
      <c r="H16" s="120"/>
      <c r="I16" s="35">
        <v>250</v>
      </c>
      <c r="J16" s="35"/>
      <c r="K16" s="8">
        <f t="shared" si="0"/>
        <v>11.45</v>
      </c>
      <c r="L16" s="7"/>
      <c r="M16" s="73">
        <f t="shared" si="2"/>
        <v>7.0966145833333327E-2</v>
      </c>
      <c r="N16" s="73">
        <f t="shared" si="2"/>
        <v>7.9315104166666664E-2</v>
      </c>
      <c r="O16" s="73">
        <f t="shared" si="2"/>
        <v>7.5140624999999989E-2</v>
      </c>
      <c r="P16" s="73">
        <f t="shared" si="2"/>
        <v>7.9315104166666664E-2</v>
      </c>
      <c r="Q16" s="73">
        <f t="shared" si="2"/>
        <v>8.3489583333333325E-2</v>
      </c>
      <c r="R16" s="73">
        <f t="shared" si="2"/>
        <v>8.7664062499999987E-2</v>
      </c>
    </row>
    <row r="17" spans="1:18" x14ac:dyDescent="0.2">
      <c r="A17" s="1" t="s">
        <v>6</v>
      </c>
      <c r="B17" s="1" t="s">
        <v>13</v>
      </c>
      <c r="C17" s="35">
        <v>3</v>
      </c>
      <c r="D17" s="2" t="s">
        <v>26</v>
      </c>
      <c r="E17" s="7"/>
      <c r="F17" s="1" t="s">
        <v>119</v>
      </c>
      <c r="G17" s="120">
        <v>9.8000000000000007</v>
      </c>
      <c r="H17" s="120"/>
      <c r="I17" s="35">
        <v>145</v>
      </c>
      <c r="J17" s="35"/>
      <c r="K17" s="8">
        <f t="shared" si="0"/>
        <v>10.815000000000001</v>
      </c>
      <c r="L17" s="7"/>
      <c r="M17" s="73">
        <f t="shared" si="2"/>
        <v>6.7030468750000002E-2</v>
      </c>
      <c r="N17" s="73">
        <f t="shared" si="2"/>
        <v>7.4916406250000012E-2</v>
      </c>
      <c r="O17" s="73">
        <f t="shared" si="2"/>
        <v>7.09734375E-2</v>
      </c>
      <c r="P17" s="73">
        <f t="shared" si="2"/>
        <v>7.4916406250000012E-2</v>
      </c>
      <c r="Q17" s="73">
        <f t="shared" si="2"/>
        <v>7.8859375000000009E-2</v>
      </c>
      <c r="R17" s="73">
        <f t="shared" si="2"/>
        <v>8.2802343750000007E-2</v>
      </c>
    </row>
    <row r="18" spans="1:18" x14ac:dyDescent="0.2">
      <c r="A18" s="1" t="s">
        <v>6</v>
      </c>
      <c r="B18" s="1" t="s">
        <v>13</v>
      </c>
      <c r="C18" s="35">
        <v>3</v>
      </c>
      <c r="D18" s="2" t="s">
        <v>26</v>
      </c>
      <c r="E18" s="7"/>
      <c r="F18" s="1" t="s">
        <v>120</v>
      </c>
      <c r="G18" s="120">
        <v>9.8000000000000007</v>
      </c>
      <c r="H18" s="120"/>
      <c r="I18" s="35">
        <v>185</v>
      </c>
      <c r="J18" s="35"/>
      <c r="K18" s="8">
        <f t="shared" si="0"/>
        <v>11.095000000000001</v>
      </c>
      <c r="L18" s="7"/>
      <c r="M18" s="73">
        <f t="shared" si="2"/>
        <v>6.8765885416666672E-2</v>
      </c>
      <c r="N18" s="73">
        <f t="shared" si="2"/>
        <v>7.685598958333334E-2</v>
      </c>
      <c r="O18" s="73">
        <f t="shared" si="2"/>
        <v>7.2810937500000006E-2</v>
      </c>
      <c r="P18" s="73">
        <f t="shared" si="2"/>
        <v>7.685598958333334E-2</v>
      </c>
      <c r="Q18" s="73">
        <f t="shared" si="2"/>
        <v>8.0901041666666673E-2</v>
      </c>
      <c r="R18" s="73">
        <f t="shared" si="2"/>
        <v>8.4946093750000007E-2</v>
      </c>
    </row>
    <row r="19" spans="1:18" x14ac:dyDescent="0.2">
      <c r="A19" s="1" t="s">
        <v>7</v>
      </c>
      <c r="B19" s="1" t="s">
        <v>14</v>
      </c>
      <c r="C19" s="35">
        <v>1</v>
      </c>
      <c r="D19" s="2" t="s">
        <v>27</v>
      </c>
      <c r="E19" s="7"/>
      <c r="F19" s="1" t="s">
        <v>125</v>
      </c>
      <c r="G19" s="120">
        <v>4.5999999999999996</v>
      </c>
      <c r="H19" s="120"/>
      <c r="I19" s="35">
        <v>40</v>
      </c>
      <c r="J19" s="35"/>
      <c r="K19" s="8">
        <f t="shared" si="0"/>
        <v>4.88</v>
      </c>
      <c r="L19" s="7"/>
      <c r="M19" s="73">
        <f t="shared" si="2"/>
        <v>2.5925E-2</v>
      </c>
      <c r="N19" s="73">
        <f t="shared" si="2"/>
        <v>2.8975000000000001E-2</v>
      </c>
      <c r="O19" s="73">
        <f t="shared" si="2"/>
        <v>2.7449999999999999E-2</v>
      </c>
      <c r="P19" s="73">
        <f t="shared" si="2"/>
        <v>2.8975000000000001E-2</v>
      </c>
      <c r="Q19" s="73">
        <f t="shared" si="2"/>
        <v>3.0499999999999996E-2</v>
      </c>
      <c r="R19" s="73">
        <f t="shared" si="2"/>
        <v>3.2024999999999998E-2</v>
      </c>
    </row>
    <row r="20" spans="1:18" x14ac:dyDescent="0.2">
      <c r="A20" s="1" t="s">
        <v>8</v>
      </c>
      <c r="B20" s="1" t="s">
        <v>15</v>
      </c>
      <c r="C20" s="35">
        <v>1</v>
      </c>
      <c r="D20" s="2" t="s">
        <v>27</v>
      </c>
      <c r="E20" s="7"/>
      <c r="F20" s="1" t="s">
        <v>126</v>
      </c>
      <c r="G20" s="120">
        <v>6.7</v>
      </c>
      <c r="H20" s="120"/>
      <c r="I20" s="35">
        <v>165</v>
      </c>
      <c r="J20" s="35"/>
      <c r="K20" s="8">
        <f t="shared" si="0"/>
        <v>7.8550000000000004</v>
      </c>
      <c r="L20" s="7"/>
      <c r="M20" s="73">
        <f t="shared" si="2"/>
        <v>4.6366319444444443E-2</v>
      </c>
      <c r="N20" s="73">
        <f t="shared" si="2"/>
        <v>5.1821180555555561E-2</v>
      </c>
      <c r="O20" s="73">
        <f t="shared" si="2"/>
        <v>4.9093749999999999E-2</v>
      </c>
      <c r="P20" s="73">
        <f t="shared" si="2"/>
        <v>5.1821180555555561E-2</v>
      </c>
      <c r="Q20" s="73">
        <f t="shared" si="2"/>
        <v>5.454861111111111E-2</v>
      </c>
      <c r="R20" s="73">
        <f t="shared" si="2"/>
        <v>5.7276041666666666E-2</v>
      </c>
    </row>
    <row r="21" spans="1:18" x14ac:dyDescent="0.2">
      <c r="A21" s="1" t="s">
        <v>3</v>
      </c>
      <c r="B21" s="1" t="s">
        <v>10</v>
      </c>
      <c r="C21" s="35">
        <v>4</v>
      </c>
      <c r="D21" s="2" t="s">
        <v>27</v>
      </c>
      <c r="E21" s="7"/>
      <c r="F21" s="1" t="s">
        <v>10</v>
      </c>
      <c r="G21" s="120"/>
      <c r="H21" s="120"/>
      <c r="I21" s="35"/>
      <c r="J21" s="35"/>
      <c r="K21" s="8">
        <f>AVERAGE(K4:K7)</f>
        <v>3.9574999999999996</v>
      </c>
      <c r="L21" s="7"/>
      <c r="M21" s="73">
        <f t="shared" ref="M21:R24" si="3">VLOOKUP(M$2,Basis,2,FALSE)*VLOOKUP($B21,Schwierigkeit,2,FALSE)*$K21</f>
        <v>2.102421875E-2</v>
      </c>
      <c r="N21" s="73">
        <f t="shared" si="3"/>
        <v>2.3497656249999999E-2</v>
      </c>
      <c r="O21" s="73">
        <f t="shared" si="3"/>
        <v>2.2260937499999998E-2</v>
      </c>
      <c r="P21" s="73">
        <f t="shared" si="3"/>
        <v>2.3497656249999999E-2</v>
      </c>
      <c r="Q21" s="73">
        <f t="shared" si="3"/>
        <v>2.4734374999999996E-2</v>
      </c>
      <c r="R21" s="73">
        <f t="shared" si="3"/>
        <v>2.5971093749999997E-2</v>
      </c>
    </row>
    <row r="22" spans="1:18" x14ac:dyDescent="0.2">
      <c r="A22" s="1" t="s">
        <v>4</v>
      </c>
      <c r="B22" s="1" t="s">
        <v>11</v>
      </c>
      <c r="C22" s="35">
        <v>4</v>
      </c>
      <c r="D22" s="2" t="s">
        <v>26</v>
      </c>
      <c r="E22" s="7"/>
      <c r="F22" s="1" t="s">
        <v>11</v>
      </c>
      <c r="G22" s="120"/>
      <c r="H22" s="120"/>
      <c r="I22" s="35"/>
      <c r="J22" s="35"/>
      <c r="K22" s="8">
        <f>AVERAGE(K8:K11)</f>
        <v>6.17</v>
      </c>
      <c r="L22" s="7"/>
      <c r="M22" s="73">
        <f t="shared" si="3"/>
        <v>3.6420138888888891E-2</v>
      </c>
      <c r="N22" s="73">
        <f t="shared" si="3"/>
        <v>4.0704861111111108E-2</v>
      </c>
      <c r="O22" s="73">
        <f t="shared" si="3"/>
        <v>3.85625E-2</v>
      </c>
      <c r="P22" s="73">
        <f t="shared" si="3"/>
        <v>4.0704861111111108E-2</v>
      </c>
      <c r="Q22" s="73">
        <f t="shared" si="3"/>
        <v>4.2847222222222217E-2</v>
      </c>
      <c r="R22" s="73">
        <f t="shared" si="3"/>
        <v>4.4989583333333326E-2</v>
      </c>
    </row>
    <row r="23" spans="1:18" x14ac:dyDescent="0.2">
      <c r="A23" s="1" t="s">
        <v>121</v>
      </c>
      <c r="B23" s="1" t="s">
        <v>12</v>
      </c>
      <c r="C23" s="35">
        <v>4</v>
      </c>
      <c r="D23" s="2" t="s">
        <v>27</v>
      </c>
      <c r="E23" s="7"/>
      <c r="F23" s="1" t="s">
        <v>12</v>
      </c>
      <c r="G23" s="120"/>
      <c r="H23" s="120"/>
      <c r="I23" s="35"/>
      <c r="J23" s="35"/>
      <c r="K23" s="8">
        <f>AVERAGE(K12:K15)</f>
        <v>8.4712500000000013</v>
      </c>
      <c r="L23" s="7"/>
      <c r="M23" s="73">
        <f t="shared" si="3"/>
        <v>5.0003906250000008E-2</v>
      </c>
      <c r="N23" s="73">
        <f t="shared" si="3"/>
        <v>5.5886718750000008E-2</v>
      </c>
      <c r="O23" s="73">
        <f t="shared" si="3"/>
        <v>5.2945312500000001E-2</v>
      </c>
      <c r="P23" s="73">
        <f t="shared" si="3"/>
        <v>5.5886718750000008E-2</v>
      </c>
      <c r="Q23" s="73">
        <f t="shared" si="3"/>
        <v>5.8828125000000009E-2</v>
      </c>
      <c r="R23" s="73">
        <f t="shared" si="3"/>
        <v>6.1769531250000002E-2</v>
      </c>
    </row>
    <row r="24" spans="1:18" x14ac:dyDescent="0.2">
      <c r="A24" s="1" t="s">
        <v>6</v>
      </c>
      <c r="B24" s="1" t="s">
        <v>13</v>
      </c>
      <c r="C24" s="35">
        <v>3</v>
      </c>
      <c r="D24" s="2" t="s">
        <v>26</v>
      </c>
      <c r="E24" s="7"/>
      <c r="F24" s="1" t="s">
        <v>13</v>
      </c>
      <c r="G24" s="120"/>
      <c r="H24" s="120"/>
      <c r="I24" s="35"/>
      <c r="J24" s="35"/>
      <c r="K24" s="8">
        <f>AVERAGE(K16:K18)</f>
        <v>11.12</v>
      </c>
      <c r="L24" s="7"/>
      <c r="M24" s="73">
        <f t="shared" si="3"/>
        <v>6.8920833333333334E-2</v>
      </c>
      <c r="N24" s="73">
        <f t="shared" si="3"/>
        <v>7.7029166666666662E-2</v>
      </c>
      <c r="O24" s="73">
        <f t="shared" si="3"/>
        <v>7.2974999999999998E-2</v>
      </c>
      <c r="P24" s="73">
        <f t="shared" si="3"/>
        <v>7.7029166666666662E-2</v>
      </c>
      <c r="Q24" s="73">
        <f t="shared" si="3"/>
        <v>8.1083333333333327E-2</v>
      </c>
      <c r="R24" s="73">
        <f t="shared" si="3"/>
        <v>8.5137499999999991E-2</v>
      </c>
    </row>
    <row r="25" spans="1:18" x14ac:dyDescent="0.2">
      <c r="K25" s="8">
        <f>SUMPRODUCT(K3:K20,C3:C20)</f>
        <v>416.05500000000006</v>
      </c>
    </row>
  </sheetData>
  <mergeCells count="1">
    <mergeCell ref="M1:R1"/>
  </mergeCells>
  <phoneticPr fontId="1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B33" sqref="B33"/>
    </sheetView>
  </sheetViews>
  <sheetFormatPr baseColWidth="10" defaultColWidth="9.140625" defaultRowHeight="12.75" x14ac:dyDescent="0.2"/>
  <cols>
    <col min="1" max="1" width="12.140625" bestFit="1" customWidth="1"/>
    <col min="2" max="2" width="7.42578125" style="84" bestFit="1" customWidth="1"/>
    <col min="3" max="3" width="8.42578125" style="78" bestFit="1" customWidth="1"/>
    <col min="4" max="4" width="8" style="84" bestFit="1" customWidth="1"/>
    <col min="5" max="5" width="14.85546875" style="85" bestFit="1" customWidth="1"/>
    <col min="6" max="6" width="9.5703125" style="84" bestFit="1" customWidth="1"/>
  </cols>
  <sheetData>
    <row r="1" spans="1:6" ht="15.75" x14ac:dyDescent="0.25">
      <c r="A1" s="79"/>
      <c r="B1" s="80" t="s">
        <v>83</v>
      </c>
      <c r="C1" s="172" t="s">
        <v>84</v>
      </c>
      <c r="D1" s="172"/>
      <c r="E1" s="172"/>
      <c r="F1" s="172"/>
    </row>
    <row r="2" spans="1:6" x14ac:dyDescent="0.2">
      <c r="A2" s="75" t="s">
        <v>80</v>
      </c>
      <c r="B2" s="81" t="s">
        <v>85</v>
      </c>
      <c r="C2" s="76" t="s">
        <v>81</v>
      </c>
      <c r="D2" s="81" t="s">
        <v>93</v>
      </c>
      <c r="E2" s="82" t="s">
        <v>92</v>
      </c>
      <c r="F2" s="81" t="s">
        <v>94</v>
      </c>
    </row>
    <row r="3" spans="1:6" x14ac:dyDescent="0.2">
      <c r="A3" s="134" t="str">
        <f>CoursesBasis!$F3&amp;CoursesBasis!M$2</f>
        <v>SF1LJ</v>
      </c>
      <c r="B3" s="135">
        <f>CoursesBasis!M3</f>
        <v>3.3409722222222223E-2</v>
      </c>
      <c r="C3" s="134">
        <f t="shared" ref="C3:C34" si="0">IF(ISNA(F3),0,IF(F3&gt;0,COUNTIF(BahnLaufzeiten,A3),0))</f>
        <v>0</v>
      </c>
      <c r="D3" s="134" t="str">
        <f t="shared" ref="D3:D34" si="1">IF(C3&gt;0,SUMIF(BahnLaufzeiten,A3,IstLaufzeiten),"")</f>
        <v/>
      </c>
      <c r="E3" s="134" t="str">
        <f t="shared" ref="E3:E37" si="2">IF(C3&gt;0,D3/C3,"")</f>
        <v/>
      </c>
      <c r="F3" s="134">
        <f t="shared" ref="F3:F34" si="3">VLOOKUP(A3,BahnLaufzeiten,13,FALSE)</f>
        <v>0</v>
      </c>
    </row>
    <row r="4" spans="1:6" x14ac:dyDescent="0.2">
      <c r="A4" s="134" t="str">
        <f>CoursesBasis!$F4&amp;CoursesBasis!M$2</f>
        <v>SE1LJ</v>
      </c>
      <c r="B4" s="135">
        <f>CoursesBasis!M4</f>
        <v>2.0639062499999999E-2</v>
      </c>
      <c r="C4" s="134">
        <f t="shared" si="0"/>
        <v>0</v>
      </c>
      <c r="D4" s="134" t="str">
        <f t="shared" si="1"/>
        <v/>
      </c>
      <c r="E4" s="134" t="str">
        <f t="shared" si="2"/>
        <v/>
      </c>
      <c r="F4" s="134" t="e">
        <f t="shared" si="3"/>
        <v>#N/A</v>
      </c>
    </row>
    <row r="5" spans="1:6" x14ac:dyDescent="0.2">
      <c r="A5" s="134" t="str">
        <f>CoursesBasis!$F5&amp;CoursesBasis!M$2</f>
        <v>SE2LJ</v>
      </c>
      <c r="B5" s="135">
        <f>CoursesBasis!M5</f>
        <v>2.1675000000000003E-2</v>
      </c>
      <c r="C5" s="134">
        <f t="shared" si="0"/>
        <v>0</v>
      </c>
      <c r="D5" s="134" t="str">
        <f t="shared" si="1"/>
        <v/>
      </c>
      <c r="E5" s="134" t="str">
        <f t="shared" si="2"/>
        <v/>
      </c>
      <c r="F5" s="134" t="e">
        <f t="shared" si="3"/>
        <v>#N/A</v>
      </c>
    </row>
    <row r="6" spans="1:6" x14ac:dyDescent="0.2">
      <c r="A6" s="134" t="str">
        <f>CoursesBasis!$F6&amp;CoursesBasis!M$2</f>
        <v>SE3LJ</v>
      </c>
      <c r="B6" s="135">
        <f>CoursesBasis!M6</f>
        <v>1.9735937500000002E-2</v>
      </c>
      <c r="C6" s="134">
        <f t="shared" si="0"/>
        <v>0</v>
      </c>
      <c r="D6" s="134" t="str">
        <f t="shared" si="1"/>
        <v/>
      </c>
      <c r="E6" s="134" t="str">
        <f t="shared" si="2"/>
        <v/>
      </c>
      <c r="F6" s="134" t="e">
        <f t="shared" si="3"/>
        <v>#N/A</v>
      </c>
    </row>
    <row r="7" spans="1:6" x14ac:dyDescent="0.2">
      <c r="A7" s="134" t="str">
        <f>CoursesBasis!$F7&amp;CoursesBasis!M$2</f>
        <v>SE4LJ</v>
      </c>
      <c r="B7" s="135">
        <f>CoursesBasis!M7</f>
        <v>2.2046874999999997E-2</v>
      </c>
      <c r="C7" s="134">
        <f t="shared" si="0"/>
        <v>0</v>
      </c>
      <c r="D7" s="134" t="str">
        <f t="shared" si="1"/>
        <v/>
      </c>
      <c r="E7" s="134" t="str">
        <f t="shared" si="2"/>
        <v/>
      </c>
      <c r="F7" s="134" t="e">
        <f t="shared" si="3"/>
        <v>#N/A</v>
      </c>
    </row>
    <row r="8" spans="1:6" x14ac:dyDescent="0.2">
      <c r="A8" s="134" t="str">
        <f>CoursesBasis!$F8&amp;CoursesBasis!M$2</f>
        <v>SD1LJ</v>
      </c>
      <c r="B8" s="135">
        <f>CoursesBasis!M8</f>
        <v>3.5387152777777778E-2</v>
      </c>
      <c r="C8" s="134">
        <f t="shared" si="0"/>
        <v>0</v>
      </c>
      <c r="D8" s="134" t="str">
        <f t="shared" si="1"/>
        <v/>
      </c>
      <c r="E8" s="134" t="str">
        <f t="shared" si="2"/>
        <v/>
      </c>
      <c r="F8" s="134" t="e">
        <f t="shared" si="3"/>
        <v>#N/A</v>
      </c>
    </row>
    <row r="9" spans="1:6" x14ac:dyDescent="0.2">
      <c r="A9" s="134" t="str">
        <f>CoursesBasis!$F9&amp;CoursesBasis!M$2</f>
        <v>SD2LJ</v>
      </c>
      <c r="B9" s="135">
        <f>CoursesBasis!M9</f>
        <v>3.8456597222222222E-2</v>
      </c>
      <c r="C9" s="134">
        <f t="shared" si="0"/>
        <v>0</v>
      </c>
      <c r="D9" s="134" t="str">
        <f t="shared" si="1"/>
        <v/>
      </c>
      <c r="E9" s="134" t="str">
        <f t="shared" si="2"/>
        <v/>
      </c>
      <c r="F9" s="134" t="e">
        <f t="shared" si="3"/>
        <v>#N/A</v>
      </c>
    </row>
    <row r="10" spans="1:6" x14ac:dyDescent="0.2">
      <c r="A10" s="134" t="str">
        <f>CoursesBasis!$F10&amp;CoursesBasis!M$2</f>
        <v>SD3LJ</v>
      </c>
      <c r="B10" s="135">
        <f>CoursesBasis!M10</f>
        <v>3.3586805555555557E-2</v>
      </c>
      <c r="C10" s="134">
        <f t="shared" si="0"/>
        <v>0</v>
      </c>
      <c r="D10" s="134" t="str">
        <f t="shared" si="1"/>
        <v/>
      </c>
      <c r="E10" s="134" t="str">
        <f t="shared" si="2"/>
        <v/>
      </c>
      <c r="F10" s="134" t="e">
        <f t="shared" si="3"/>
        <v>#N/A</v>
      </c>
    </row>
    <row r="11" spans="1:6" x14ac:dyDescent="0.2">
      <c r="A11" s="134" t="str">
        <f>CoursesBasis!$F11&amp;CoursesBasis!M$2</f>
        <v>SD4LJ</v>
      </c>
      <c r="B11" s="135">
        <f>CoursesBasis!M11</f>
        <v>3.8249999999999999E-2</v>
      </c>
      <c r="C11" s="134">
        <f t="shared" si="0"/>
        <v>0</v>
      </c>
      <c r="D11" s="134" t="str">
        <f t="shared" si="1"/>
        <v/>
      </c>
      <c r="E11" s="134" t="str">
        <f t="shared" si="2"/>
        <v/>
      </c>
      <c r="F11" s="134" t="e">
        <f t="shared" si="3"/>
        <v>#N/A</v>
      </c>
    </row>
    <row r="12" spans="1:6" x14ac:dyDescent="0.2">
      <c r="A12" s="134" t="str">
        <f>CoursesBasis!$F12&amp;CoursesBasis!M$2</f>
        <v>LE1LJ</v>
      </c>
      <c r="B12" s="135">
        <f>CoursesBasis!M12</f>
        <v>4.8874999999999995E-2</v>
      </c>
      <c r="C12" s="134">
        <f t="shared" si="0"/>
        <v>0</v>
      </c>
      <c r="D12" s="134" t="str">
        <f t="shared" si="1"/>
        <v/>
      </c>
      <c r="E12" s="134" t="str">
        <f t="shared" si="2"/>
        <v/>
      </c>
      <c r="F12" s="134" t="e">
        <f t="shared" si="3"/>
        <v>#N/A</v>
      </c>
    </row>
    <row r="13" spans="1:6" x14ac:dyDescent="0.2">
      <c r="A13" s="134" t="str">
        <f>CoursesBasis!$F13&amp;CoursesBasis!M$2</f>
        <v>LE2LJ</v>
      </c>
      <c r="B13" s="135">
        <f>CoursesBasis!M13</f>
        <v>4.8225694444444446E-2</v>
      </c>
      <c r="C13" s="134">
        <f t="shared" si="0"/>
        <v>0</v>
      </c>
      <c r="D13" s="134" t="str">
        <f t="shared" si="1"/>
        <v/>
      </c>
      <c r="E13" s="134" t="str">
        <f t="shared" si="2"/>
        <v/>
      </c>
      <c r="F13" s="134">
        <f t="shared" si="3"/>
        <v>0</v>
      </c>
    </row>
    <row r="14" spans="1:6" x14ac:dyDescent="0.2">
      <c r="A14" s="134" t="str">
        <f>CoursesBasis!$F14&amp;CoursesBasis!M$2</f>
        <v>LE3LJ</v>
      </c>
      <c r="B14" s="135">
        <f>CoursesBasis!M14</f>
        <v>4.9258680555555559E-2</v>
      </c>
      <c r="C14" s="134">
        <f t="shared" si="0"/>
        <v>0</v>
      </c>
      <c r="D14" s="134" t="str">
        <f t="shared" si="1"/>
        <v/>
      </c>
      <c r="E14" s="134" t="str">
        <f t="shared" si="2"/>
        <v/>
      </c>
      <c r="F14" s="134" t="e">
        <f t="shared" si="3"/>
        <v>#N/A</v>
      </c>
    </row>
    <row r="15" spans="1:6" x14ac:dyDescent="0.2">
      <c r="A15" s="134" t="str">
        <f>CoursesBasis!$F15&amp;CoursesBasis!M$2</f>
        <v>LE4LJ</v>
      </c>
      <c r="B15" s="135">
        <f>CoursesBasis!M15</f>
        <v>5.3656249999999996E-2</v>
      </c>
      <c r="C15" s="134">
        <f t="shared" si="0"/>
        <v>0</v>
      </c>
      <c r="D15" s="134" t="str">
        <f t="shared" si="1"/>
        <v/>
      </c>
      <c r="E15" s="134" t="str">
        <f t="shared" si="2"/>
        <v/>
      </c>
      <c r="F15" s="134" t="e">
        <f t="shared" si="3"/>
        <v>#N/A</v>
      </c>
    </row>
    <row r="16" spans="1:6" x14ac:dyDescent="0.2">
      <c r="A16" s="134" t="str">
        <f>CoursesBasis!$F16&amp;CoursesBasis!M$2</f>
        <v>LD1LJ</v>
      </c>
      <c r="B16" s="135">
        <f>CoursesBasis!M16</f>
        <v>7.0966145833333327E-2</v>
      </c>
      <c r="C16" s="134">
        <f t="shared" si="0"/>
        <v>0</v>
      </c>
      <c r="D16" s="134" t="str">
        <f t="shared" si="1"/>
        <v/>
      </c>
      <c r="E16" s="134" t="str">
        <f t="shared" si="2"/>
        <v/>
      </c>
      <c r="F16" s="134" t="e">
        <f t="shared" si="3"/>
        <v>#N/A</v>
      </c>
    </row>
    <row r="17" spans="1:6" x14ac:dyDescent="0.2">
      <c r="A17" s="134" t="str">
        <f>CoursesBasis!$F17&amp;CoursesBasis!M$2</f>
        <v>LD2LJ</v>
      </c>
      <c r="B17" s="135">
        <f>CoursesBasis!M17</f>
        <v>6.7030468750000002E-2</v>
      </c>
      <c r="C17" s="134">
        <f t="shared" si="0"/>
        <v>0</v>
      </c>
      <c r="D17" s="134" t="str">
        <f t="shared" si="1"/>
        <v/>
      </c>
      <c r="E17" s="134" t="str">
        <f t="shared" si="2"/>
        <v/>
      </c>
      <c r="F17" s="134" t="e">
        <f t="shared" si="3"/>
        <v>#N/A</v>
      </c>
    </row>
    <row r="18" spans="1:6" x14ac:dyDescent="0.2">
      <c r="A18" s="134" t="str">
        <f>CoursesBasis!$F18&amp;CoursesBasis!M$2</f>
        <v>LD3LJ</v>
      </c>
      <c r="B18" s="135">
        <f>CoursesBasis!M18</f>
        <v>6.8765885416666672E-2</v>
      </c>
      <c r="C18" s="134">
        <f t="shared" si="0"/>
        <v>0</v>
      </c>
      <c r="D18" s="134" t="str">
        <f t="shared" si="1"/>
        <v/>
      </c>
      <c r="E18" s="134" t="str">
        <f t="shared" si="2"/>
        <v/>
      </c>
      <c r="F18" s="134" t="e">
        <f t="shared" si="3"/>
        <v>#N/A</v>
      </c>
    </row>
    <row r="19" spans="1:6" x14ac:dyDescent="0.2">
      <c r="A19" s="134" t="str">
        <f>CoursesBasis!$F19&amp;CoursesBasis!M$2</f>
        <v>ST1LJ</v>
      </c>
      <c r="B19" s="135">
        <f>CoursesBasis!M19</f>
        <v>2.5925E-2</v>
      </c>
      <c r="C19" s="134">
        <f t="shared" si="0"/>
        <v>0</v>
      </c>
      <c r="D19" s="134" t="str">
        <f t="shared" si="1"/>
        <v/>
      </c>
      <c r="E19" s="134" t="str">
        <f t="shared" si="2"/>
        <v/>
      </c>
      <c r="F19" s="134">
        <f t="shared" si="3"/>
        <v>0</v>
      </c>
    </row>
    <row r="20" spans="1:6" x14ac:dyDescent="0.2">
      <c r="A20" s="134" t="str">
        <f>CoursesBasis!$F20&amp;CoursesBasis!M$2</f>
        <v>LT1LJ</v>
      </c>
      <c r="B20" s="135">
        <f>CoursesBasis!M20</f>
        <v>4.6366319444444443E-2</v>
      </c>
      <c r="C20" s="134">
        <f t="shared" si="0"/>
        <v>0</v>
      </c>
      <c r="D20" s="134" t="str">
        <f t="shared" si="1"/>
        <v/>
      </c>
      <c r="E20" s="134" t="str">
        <f t="shared" si="2"/>
        <v/>
      </c>
      <c r="F20" s="134" t="e">
        <f t="shared" si="3"/>
        <v>#N/A</v>
      </c>
    </row>
    <row r="21" spans="1:6" x14ac:dyDescent="0.2">
      <c r="A21" s="134" t="str">
        <f>CoursesBasis!$F21&amp;CoursesBasis!M$2</f>
        <v>SELJ</v>
      </c>
      <c r="B21" s="135">
        <f>CoursesBasis!M21</f>
        <v>2.102421875E-2</v>
      </c>
      <c r="C21" s="134">
        <f t="shared" si="0"/>
        <v>0</v>
      </c>
      <c r="D21" s="134" t="str">
        <f t="shared" si="1"/>
        <v/>
      </c>
      <c r="E21" s="134" t="str">
        <f t="shared" si="2"/>
        <v/>
      </c>
      <c r="F21" s="134" t="e">
        <f t="shared" si="3"/>
        <v>#N/A</v>
      </c>
    </row>
    <row r="22" spans="1:6" x14ac:dyDescent="0.2">
      <c r="A22" s="134" t="str">
        <f>CoursesBasis!$F22&amp;CoursesBasis!M$2</f>
        <v>SDLJ</v>
      </c>
      <c r="B22" s="135">
        <f>CoursesBasis!M22</f>
        <v>3.6420138888888891E-2</v>
      </c>
      <c r="C22" s="134">
        <f t="shared" si="0"/>
        <v>0</v>
      </c>
      <c r="D22" s="134" t="str">
        <f t="shared" si="1"/>
        <v/>
      </c>
      <c r="E22" s="134" t="str">
        <f t="shared" si="2"/>
        <v/>
      </c>
      <c r="F22" s="134" t="e">
        <f t="shared" si="3"/>
        <v>#N/A</v>
      </c>
    </row>
    <row r="23" spans="1:6" x14ac:dyDescent="0.2">
      <c r="A23" s="134" t="str">
        <f>CoursesBasis!$F23&amp;CoursesBasis!M$2</f>
        <v>LELJ</v>
      </c>
      <c r="B23" s="135">
        <f>CoursesBasis!M23</f>
        <v>5.0003906250000008E-2</v>
      </c>
      <c r="C23" s="134">
        <f t="shared" si="0"/>
        <v>0</v>
      </c>
      <c r="D23" s="134" t="str">
        <f t="shared" si="1"/>
        <v/>
      </c>
      <c r="E23" s="134" t="str">
        <f t="shared" si="2"/>
        <v/>
      </c>
      <c r="F23" s="134" t="e">
        <f t="shared" si="3"/>
        <v>#N/A</v>
      </c>
    </row>
    <row r="24" spans="1:6" x14ac:dyDescent="0.2">
      <c r="A24" s="134" t="str">
        <f>CoursesBasis!$F24&amp;CoursesBasis!M$2</f>
        <v>LDLJ</v>
      </c>
      <c r="B24" s="135">
        <f>CoursesBasis!M24</f>
        <v>6.8920833333333334E-2</v>
      </c>
      <c r="C24" s="134">
        <f t="shared" si="0"/>
        <v>0</v>
      </c>
      <c r="D24" s="134" t="str">
        <f t="shared" si="1"/>
        <v/>
      </c>
      <c r="E24" s="134" t="str">
        <f t="shared" si="2"/>
        <v/>
      </c>
      <c r="F24" s="134" t="e">
        <f t="shared" si="3"/>
        <v>#N/A</v>
      </c>
    </row>
    <row r="25" spans="1:6" x14ac:dyDescent="0.2">
      <c r="A25" s="5" t="str">
        <f>CoursesBasis!F3&amp;CoursesBasis!N$2</f>
        <v>SF1BO</v>
      </c>
      <c r="B25" s="83">
        <f>CoursesBasis!N3</f>
        <v>3.7340277777777778E-2</v>
      </c>
      <c r="C25" s="77">
        <f t="shared" si="0"/>
        <v>0</v>
      </c>
      <c r="D25" s="83" t="str">
        <f t="shared" si="1"/>
        <v/>
      </c>
      <c r="E25" s="83" t="str">
        <f t="shared" si="2"/>
        <v/>
      </c>
      <c r="F25" s="83" t="e">
        <f t="shared" si="3"/>
        <v>#N/A</v>
      </c>
    </row>
    <row r="26" spans="1:6" x14ac:dyDescent="0.2">
      <c r="A26" s="5" t="str">
        <f>CoursesBasis!F4&amp;CoursesBasis!N$2</f>
        <v>SE1BO</v>
      </c>
      <c r="B26" s="83">
        <f>CoursesBasis!N4</f>
        <v>2.3067187499999999E-2</v>
      </c>
      <c r="C26" s="77">
        <f t="shared" si="0"/>
        <v>0</v>
      </c>
      <c r="D26" s="83" t="str">
        <f t="shared" si="1"/>
        <v/>
      </c>
      <c r="E26" s="83" t="str">
        <f t="shared" si="2"/>
        <v/>
      </c>
      <c r="F26" s="83">
        <f t="shared" si="3"/>
        <v>0</v>
      </c>
    </row>
    <row r="27" spans="1:6" x14ac:dyDescent="0.2">
      <c r="A27" s="5" t="str">
        <f>CoursesBasis!F5&amp;CoursesBasis!N$2</f>
        <v>SE2BO</v>
      </c>
      <c r="B27" s="83">
        <f>CoursesBasis!N5</f>
        <v>2.4225E-2</v>
      </c>
      <c r="C27" s="77">
        <f t="shared" si="0"/>
        <v>0</v>
      </c>
      <c r="D27" s="83" t="str">
        <f t="shared" si="1"/>
        <v/>
      </c>
      <c r="E27" s="83" t="str">
        <f t="shared" si="2"/>
        <v/>
      </c>
      <c r="F27" s="83" t="e">
        <f t="shared" si="3"/>
        <v>#N/A</v>
      </c>
    </row>
    <row r="28" spans="1:6" x14ac:dyDescent="0.2">
      <c r="A28" s="5" t="str">
        <f>CoursesBasis!F6&amp;CoursesBasis!N$2</f>
        <v>SE3BO</v>
      </c>
      <c r="B28" s="83">
        <f>CoursesBasis!N6</f>
        <v>2.2057812499999999E-2</v>
      </c>
      <c r="C28" s="77">
        <f t="shared" si="0"/>
        <v>0</v>
      </c>
      <c r="D28" s="83" t="str">
        <f t="shared" si="1"/>
        <v/>
      </c>
      <c r="E28" s="83" t="str">
        <f t="shared" si="2"/>
        <v/>
      </c>
      <c r="F28" s="83" t="e">
        <f t="shared" si="3"/>
        <v>#N/A</v>
      </c>
    </row>
    <row r="29" spans="1:6" x14ac:dyDescent="0.2">
      <c r="A29" s="5" t="str">
        <f>CoursesBasis!F7&amp;CoursesBasis!N$2</f>
        <v>SE4BO</v>
      </c>
      <c r="B29" s="83">
        <f>CoursesBasis!N7</f>
        <v>2.4640624999999996E-2</v>
      </c>
      <c r="C29" s="77">
        <f t="shared" si="0"/>
        <v>0</v>
      </c>
      <c r="D29" s="83" t="str">
        <f t="shared" si="1"/>
        <v/>
      </c>
      <c r="E29" s="83" t="str">
        <f t="shared" si="2"/>
        <v/>
      </c>
      <c r="F29" s="83" t="e">
        <f t="shared" si="3"/>
        <v>#N/A</v>
      </c>
    </row>
    <row r="30" spans="1:6" x14ac:dyDescent="0.2">
      <c r="A30" s="5" t="str">
        <f>CoursesBasis!F8&amp;CoursesBasis!N$2</f>
        <v>SD1BO</v>
      </c>
      <c r="B30" s="83">
        <f>CoursesBasis!N8</f>
        <v>3.9550347222222219E-2</v>
      </c>
      <c r="C30" s="77">
        <f t="shared" si="0"/>
        <v>0</v>
      </c>
      <c r="D30" s="83" t="str">
        <f t="shared" si="1"/>
        <v/>
      </c>
      <c r="E30" s="83" t="str">
        <f t="shared" si="2"/>
        <v/>
      </c>
      <c r="F30" s="83">
        <f t="shared" si="3"/>
        <v>0</v>
      </c>
    </row>
    <row r="31" spans="1:6" x14ac:dyDescent="0.2">
      <c r="A31" s="5" t="str">
        <f>CoursesBasis!F9&amp;CoursesBasis!N$2</f>
        <v>SD2BO</v>
      </c>
      <c r="B31" s="83">
        <f>CoursesBasis!N9</f>
        <v>4.2980902777777774E-2</v>
      </c>
      <c r="C31" s="77">
        <f t="shared" si="0"/>
        <v>0</v>
      </c>
      <c r="D31" s="83" t="str">
        <f t="shared" si="1"/>
        <v/>
      </c>
      <c r="E31" s="83" t="str">
        <f t="shared" si="2"/>
        <v/>
      </c>
      <c r="F31" s="83" t="e">
        <f t="shared" si="3"/>
        <v>#N/A</v>
      </c>
    </row>
    <row r="32" spans="1:6" x14ac:dyDescent="0.2">
      <c r="A32" s="5" t="str">
        <f>CoursesBasis!F10&amp;CoursesBasis!N$2</f>
        <v>SD3BO</v>
      </c>
      <c r="B32" s="83">
        <f>CoursesBasis!N10</f>
        <v>3.7538194444444443E-2</v>
      </c>
      <c r="C32" s="77">
        <f t="shared" si="0"/>
        <v>0</v>
      </c>
      <c r="D32" s="83" t="str">
        <f t="shared" si="1"/>
        <v/>
      </c>
      <c r="E32" s="83" t="str">
        <f t="shared" si="2"/>
        <v/>
      </c>
      <c r="F32" s="83" t="e">
        <f t="shared" si="3"/>
        <v>#N/A</v>
      </c>
    </row>
    <row r="33" spans="1:6" x14ac:dyDescent="0.2">
      <c r="A33" s="5" t="str">
        <f>CoursesBasis!F11&amp;CoursesBasis!N$2</f>
        <v>SD4BO</v>
      </c>
      <c r="B33" s="83">
        <f>CoursesBasis!N11</f>
        <v>4.2750000000000003E-2</v>
      </c>
      <c r="C33" s="77">
        <f t="shared" si="0"/>
        <v>0</v>
      </c>
      <c r="D33" s="83" t="str">
        <f t="shared" si="1"/>
        <v/>
      </c>
      <c r="E33" s="83" t="str">
        <f t="shared" si="2"/>
        <v/>
      </c>
      <c r="F33" s="83" t="e">
        <f t="shared" si="3"/>
        <v>#N/A</v>
      </c>
    </row>
    <row r="34" spans="1:6" x14ac:dyDescent="0.2">
      <c r="A34" s="5" t="str">
        <f>CoursesBasis!F12&amp;CoursesBasis!N$2</f>
        <v>LE1BO</v>
      </c>
      <c r="B34" s="83">
        <f>CoursesBasis!N12</f>
        <v>5.4624999999999993E-2</v>
      </c>
      <c r="C34" s="77">
        <f t="shared" si="0"/>
        <v>0</v>
      </c>
      <c r="D34" s="83" t="str">
        <f t="shared" si="1"/>
        <v/>
      </c>
      <c r="E34" s="83" t="str">
        <f t="shared" si="2"/>
        <v/>
      </c>
      <c r="F34" s="83" t="e">
        <f t="shared" si="3"/>
        <v>#N/A</v>
      </c>
    </row>
    <row r="35" spans="1:6" x14ac:dyDescent="0.2">
      <c r="A35" s="5" t="str">
        <f>CoursesBasis!F13&amp;CoursesBasis!N$2</f>
        <v>LE2BO</v>
      </c>
      <c r="B35" s="83">
        <f>CoursesBasis!N13</f>
        <v>5.3899305555555554E-2</v>
      </c>
      <c r="C35" s="77">
        <f t="shared" ref="C35:C47" si="4">IF(ISNA(F35),0,IF(F35&gt;0,COUNTIF(BahnLaufzeiten,A35),0))</f>
        <v>0</v>
      </c>
      <c r="D35" s="83" t="str">
        <f t="shared" ref="D35:D47" si="5">IF(C35&gt;0,SUMIF(BahnLaufzeiten,A35,IstLaufzeiten),"")</f>
        <v/>
      </c>
      <c r="E35" s="83" t="str">
        <f t="shared" si="2"/>
        <v/>
      </c>
      <c r="F35" s="83" t="e">
        <f t="shared" ref="F35:F47" si="6">VLOOKUP(A35,BahnLaufzeiten,13,FALSE)</f>
        <v>#N/A</v>
      </c>
    </row>
    <row r="36" spans="1:6" x14ac:dyDescent="0.2">
      <c r="A36" s="5" t="str">
        <f>CoursesBasis!F14&amp;CoursesBasis!N$2</f>
        <v>LE3BO</v>
      </c>
      <c r="B36" s="83">
        <f>CoursesBasis!N14</f>
        <v>5.505381944444445E-2</v>
      </c>
      <c r="C36" s="77">
        <f t="shared" si="4"/>
        <v>0</v>
      </c>
      <c r="D36" s="83" t="str">
        <f t="shared" si="5"/>
        <v/>
      </c>
      <c r="E36" s="83" t="str">
        <f t="shared" si="2"/>
        <v/>
      </c>
      <c r="F36" s="83" t="e">
        <f t="shared" si="6"/>
        <v>#N/A</v>
      </c>
    </row>
    <row r="37" spans="1:6" x14ac:dyDescent="0.2">
      <c r="A37" s="5" t="str">
        <f>CoursesBasis!F15&amp;CoursesBasis!N$2</f>
        <v>LE4BO</v>
      </c>
      <c r="B37" s="83">
        <f>CoursesBasis!N15</f>
        <v>5.9968750000000001E-2</v>
      </c>
      <c r="C37" s="77">
        <f t="shared" si="4"/>
        <v>0</v>
      </c>
      <c r="D37" s="83" t="str">
        <f t="shared" si="5"/>
        <v/>
      </c>
      <c r="E37" s="83" t="str">
        <f t="shared" si="2"/>
        <v/>
      </c>
      <c r="F37" s="83" t="e">
        <f t="shared" si="6"/>
        <v>#N/A</v>
      </c>
    </row>
    <row r="38" spans="1:6" x14ac:dyDescent="0.2">
      <c r="A38" s="5" t="str">
        <f>CoursesBasis!F16&amp;CoursesBasis!N$2</f>
        <v>LD1BO</v>
      </c>
      <c r="B38" s="83">
        <f>CoursesBasis!N16</f>
        <v>7.9315104166666664E-2</v>
      </c>
      <c r="C38" s="77">
        <f t="shared" si="4"/>
        <v>0</v>
      </c>
      <c r="D38" s="83" t="str">
        <f t="shared" si="5"/>
        <v/>
      </c>
      <c r="E38" s="83" t="str">
        <f t="shared" ref="E38:E47" si="7">IF(C38&gt;0,D38/C38,"")</f>
        <v/>
      </c>
      <c r="F38" s="83" t="e">
        <f t="shared" si="6"/>
        <v>#N/A</v>
      </c>
    </row>
    <row r="39" spans="1:6" x14ac:dyDescent="0.2">
      <c r="A39" s="5" t="str">
        <f>CoursesBasis!F17&amp;CoursesBasis!N$2</f>
        <v>LD2BO</v>
      </c>
      <c r="B39" s="83">
        <f>CoursesBasis!N17</f>
        <v>7.4916406250000012E-2</v>
      </c>
      <c r="C39" s="77">
        <f t="shared" si="4"/>
        <v>0</v>
      </c>
      <c r="D39" s="83" t="str">
        <f t="shared" si="5"/>
        <v/>
      </c>
      <c r="E39" s="83" t="str">
        <f t="shared" si="7"/>
        <v/>
      </c>
      <c r="F39" s="83" t="e">
        <f t="shared" si="6"/>
        <v>#N/A</v>
      </c>
    </row>
    <row r="40" spans="1:6" x14ac:dyDescent="0.2">
      <c r="A40" s="5" t="str">
        <f>CoursesBasis!F18&amp;CoursesBasis!N$2</f>
        <v>LD3BO</v>
      </c>
      <c r="B40" s="83">
        <f>CoursesBasis!N18</f>
        <v>7.685598958333334E-2</v>
      </c>
      <c r="C40" s="77">
        <f t="shared" si="4"/>
        <v>0</v>
      </c>
      <c r="D40" s="83" t="str">
        <f t="shared" si="5"/>
        <v/>
      </c>
      <c r="E40" s="83" t="str">
        <f t="shared" si="7"/>
        <v/>
      </c>
      <c r="F40" s="83" t="e">
        <f t="shared" si="6"/>
        <v>#N/A</v>
      </c>
    </row>
    <row r="41" spans="1:6" x14ac:dyDescent="0.2">
      <c r="A41" s="5" t="str">
        <f>CoursesBasis!F19&amp;CoursesBasis!N$2</f>
        <v>ST1BO</v>
      </c>
      <c r="B41" s="83">
        <f>CoursesBasis!N19</f>
        <v>2.8975000000000001E-2</v>
      </c>
      <c r="C41" s="77">
        <f t="shared" si="4"/>
        <v>0</v>
      </c>
      <c r="D41" s="83" t="str">
        <f t="shared" si="5"/>
        <v/>
      </c>
      <c r="E41" s="83" t="str">
        <f t="shared" si="7"/>
        <v/>
      </c>
      <c r="F41" s="83" t="e">
        <f t="shared" si="6"/>
        <v>#N/A</v>
      </c>
    </row>
    <row r="42" spans="1:6" x14ac:dyDescent="0.2">
      <c r="A42" s="5" t="str">
        <f>CoursesBasis!F20&amp;CoursesBasis!N$2</f>
        <v>LT1BO</v>
      </c>
      <c r="B42" s="83">
        <f>CoursesBasis!N20</f>
        <v>5.1821180555555561E-2</v>
      </c>
      <c r="C42" s="77">
        <f t="shared" si="4"/>
        <v>0</v>
      </c>
      <c r="D42" s="83" t="str">
        <f t="shared" si="5"/>
        <v/>
      </c>
      <c r="E42" s="83" t="str">
        <f t="shared" si="7"/>
        <v/>
      </c>
      <c r="F42" s="83">
        <f t="shared" si="6"/>
        <v>0</v>
      </c>
    </row>
    <row r="43" spans="1:6" x14ac:dyDescent="0.2">
      <c r="A43" s="5" t="str">
        <f>CoursesBasis!F21&amp;CoursesBasis!N$2</f>
        <v>SEBO</v>
      </c>
      <c r="B43" s="83">
        <f>CoursesBasis!N21</f>
        <v>2.3497656249999999E-2</v>
      </c>
      <c r="C43" s="77">
        <f t="shared" si="4"/>
        <v>0</v>
      </c>
      <c r="D43" s="83" t="str">
        <f t="shared" si="5"/>
        <v/>
      </c>
      <c r="E43" s="83" t="str">
        <f t="shared" si="7"/>
        <v/>
      </c>
      <c r="F43" s="83" t="e">
        <f t="shared" si="6"/>
        <v>#N/A</v>
      </c>
    </row>
    <row r="44" spans="1:6" x14ac:dyDescent="0.2">
      <c r="A44" s="5" t="str">
        <f>CoursesBasis!F22&amp;CoursesBasis!N$2</f>
        <v>SDBO</v>
      </c>
      <c r="B44" s="83">
        <f>CoursesBasis!N22</f>
        <v>4.0704861111111108E-2</v>
      </c>
      <c r="C44" s="77">
        <f t="shared" si="4"/>
        <v>0</v>
      </c>
      <c r="D44" s="83" t="str">
        <f t="shared" si="5"/>
        <v/>
      </c>
      <c r="E44" s="83" t="str">
        <f t="shared" si="7"/>
        <v/>
      </c>
      <c r="F44" s="83" t="e">
        <f t="shared" si="6"/>
        <v>#N/A</v>
      </c>
    </row>
    <row r="45" spans="1:6" x14ac:dyDescent="0.2">
      <c r="A45" s="5" t="str">
        <f>CoursesBasis!F23&amp;CoursesBasis!N$2</f>
        <v>LEBO</v>
      </c>
      <c r="B45" s="83">
        <f>CoursesBasis!N23</f>
        <v>5.5886718750000008E-2</v>
      </c>
      <c r="C45" s="77">
        <f t="shared" si="4"/>
        <v>0</v>
      </c>
      <c r="D45" s="83" t="str">
        <f t="shared" si="5"/>
        <v/>
      </c>
      <c r="E45" s="83" t="str">
        <f t="shared" si="7"/>
        <v/>
      </c>
      <c r="F45" s="83" t="e">
        <f t="shared" si="6"/>
        <v>#N/A</v>
      </c>
    </row>
    <row r="46" spans="1:6" x14ac:dyDescent="0.2">
      <c r="A46" s="5" t="str">
        <f>CoursesBasis!F24&amp;CoursesBasis!N$2</f>
        <v>LDBO</v>
      </c>
      <c r="B46" s="83">
        <f>CoursesBasis!N24</f>
        <v>7.7029166666666662E-2</v>
      </c>
      <c r="C46" s="77">
        <f t="shared" si="4"/>
        <v>0</v>
      </c>
      <c r="D46" s="83" t="str">
        <f t="shared" si="5"/>
        <v/>
      </c>
      <c r="E46" s="83" t="str">
        <f t="shared" si="7"/>
        <v/>
      </c>
      <c r="F46" s="83" t="e">
        <f t="shared" si="6"/>
        <v>#N/A</v>
      </c>
    </row>
    <row r="47" spans="1:6" x14ac:dyDescent="0.2">
      <c r="A47" s="134" t="str">
        <f>CoursesBasis!$F3&amp;CoursesBasis!O$2</f>
        <v>SF1IK</v>
      </c>
      <c r="B47" s="135">
        <f>CoursesBasis!O3</f>
        <v>3.5374999999999997E-2</v>
      </c>
      <c r="C47" s="134">
        <f t="shared" si="4"/>
        <v>0</v>
      </c>
      <c r="D47" s="134" t="str">
        <f t="shared" si="5"/>
        <v/>
      </c>
      <c r="E47" s="134" t="str">
        <f t="shared" si="7"/>
        <v/>
      </c>
      <c r="F47" s="134" t="e">
        <f t="shared" si="6"/>
        <v>#N/A</v>
      </c>
    </row>
    <row r="48" spans="1:6" x14ac:dyDescent="0.2">
      <c r="A48" s="134" t="str">
        <f>CoursesBasis!$F4&amp;CoursesBasis!O$2</f>
        <v>SE1IK</v>
      </c>
      <c r="B48" s="135">
        <f>CoursesBasis!O4</f>
        <v>2.1853124999999998E-2</v>
      </c>
      <c r="C48" s="134">
        <f t="shared" ref="C48:C69" si="8">IF(ISNA(F48),0,IF(F48&gt;0,COUNTIF(BahnLaufzeiten,A48),0))</f>
        <v>0</v>
      </c>
      <c r="D48" s="134" t="str">
        <f t="shared" ref="D48:D69" si="9">IF(C48&gt;0,SUMIF(BahnLaufzeiten,A48,IstLaufzeiten),"")</f>
        <v/>
      </c>
      <c r="E48" s="134" t="str">
        <f t="shared" ref="E48:E69" si="10">IF(C48&gt;0,D48/C48,"")</f>
        <v/>
      </c>
      <c r="F48" s="134" t="e">
        <f t="shared" ref="F48:F69" si="11">VLOOKUP(A48,BahnLaufzeiten,13,FALSE)</f>
        <v>#N/A</v>
      </c>
    </row>
    <row r="49" spans="1:6" x14ac:dyDescent="0.2">
      <c r="A49" s="134" t="str">
        <f>CoursesBasis!$F5&amp;CoursesBasis!O$2</f>
        <v>SE2IK</v>
      </c>
      <c r="B49" s="135">
        <f>CoursesBasis!O5</f>
        <v>2.2949999999999998E-2</v>
      </c>
      <c r="C49" s="134">
        <f t="shared" si="8"/>
        <v>0</v>
      </c>
      <c r="D49" s="134" t="str">
        <f t="shared" si="9"/>
        <v/>
      </c>
      <c r="E49" s="134" t="str">
        <f t="shared" si="10"/>
        <v/>
      </c>
      <c r="F49" s="134" t="e">
        <f t="shared" si="11"/>
        <v>#N/A</v>
      </c>
    </row>
    <row r="50" spans="1:6" x14ac:dyDescent="0.2">
      <c r="A50" s="134" t="str">
        <f>CoursesBasis!$F6&amp;CoursesBasis!O$2</f>
        <v>SE3IK</v>
      </c>
      <c r="B50" s="135">
        <f>CoursesBasis!O6</f>
        <v>2.0896874999999999E-2</v>
      </c>
      <c r="C50" s="134">
        <f t="shared" si="8"/>
        <v>0</v>
      </c>
      <c r="D50" s="134" t="str">
        <f t="shared" si="9"/>
        <v/>
      </c>
      <c r="E50" s="134" t="str">
        <f t="shared" si="10"/>
        <v/>
      </c>
      <c r="F50" s="134" t="e">
        <f t="shared" si="11"/>
        <v>#N/A</v>
      </c>
    </row>
    <row r="51" spans="1:6" x14ac:dyDescent="0.2">
      <c r="A51" s="134" t="str">
        <f>CoursesBasis!$F7&amp;CoursesBasis!O$2</f>
        <v>SE4IK</v>
      </c>
      <c r="B51" s="135">
        <f>CoursesBasis!O7</f>
        <v>2.3343749999999996E-2</v>
      </c>
      <c r="C51" s="134">
        <f t="shared" si="8"/>
        <v>0</v>
      </c>
      <c r="D51" s="134" t="str">
        <f t="shared" si="9"/>
        <v/>
      </c>
      <c r="E51" s="134" t="str">
        <f t="shared" si="10"/>
        <v/>
      </c>
      <c r="F51" s="134" t="e">
        <f t="shared" si="11"/>
        <v>#N/A</v>
      </c>
    </row>
    <row r="52" spans="1:6" x14ac:dyDescent="0.2">
      <c r="A52" s="134" t="str">
        <f>CoursesBasis!$F8&amp;CoursesBasis!O$2</f>
        <v>SD1IK</v>
      </c>
      <c r="B52" s="135">
        <f>CoursesBasis!O8</f>
        <v>3.7468749999999995E-2</v>
      </c>
      <c r="C52" s="134">
        <f t="shared" si="8"/>
        <v>0</v>
      </c>
      <c r="D52" s="134" t="str">
        <f t="shared" si="9"/>
        <v/>
      </c>
      <c r="E52" s="134" t="str">
        <f t="shared" si="10"/>
        <v/>
      </c>
      <c r="F52" s="134" t="e">
        <f t="shared" si="11"/>
        <v>#N/A</v>
      </c>
    </row>
    <row r="53" spans="1:6" x14ac:dyDescent="0.2">
      <c r="A53" s="134" t="str">
        <f>CoursesBasis!$F9&amp;CoursesBasis!O$2</f>
        <v>SD2IK</v>
      </c>
      <c r="B53" s="135">
        <f>CoursesBasis!O9</f>
        <v>4.0718749999999998E-2</v>
      </c>
      <c r="C53" s="134">
        <f t="shared" si="8"/>
        <v>0</v>
      </c>
      <c r="D53" s="134" t="str">
        <f t="shared" si="9"/>
        <v/>
      </c>
      <c r="E53" s="134" t="str">
        <f t="shared" si="10"/>
        <v/>
      </c>
      <c r="F53" s="134">
        <f t="shared" si="11"/>
        <v>0</v>
      </c>
    </row>
    <row r="54" spans="1:6" x14ac:dyDescent="0.2">
      <c r="A54" s="134" t="str">
        <f>CoursesBasis!$F10&amp;CoursesBasis!O$2</f>
        <v>SD3IK</v>
      </c>
      <c r="B54" s="135">
        <f>CoursesBasis!O10</f>
        <v>3.5562499999999997E-2</v>
      </c>
      <c r="C54" s="134">
        <f t="shared" si="8"/>
        <v>0</v>
      </c>
      <c r="D54" s="134" t="str">
        <f t="shared" si="9"/>
        <v/>
      </c>
      <c r="E54" s="134" t="str">
        <f t="shared" si="10"/>
        <v/>
      </c>
      <c r="F54" s="134" t="e">
        <f t="shared" si="11"/>
        <v>#N/A</v>
      </c>
    </row>
    <row r="55" spans="1:6" x14ac:dyDescent="0.2">
      <c r="A55" s="134" t="str">
        <f>CoursesBasis!$F11&amp;CoursesBasis!O$2</f>
        <v>SD4IK</v>
      </c>
      <c r="B55" s="135">
        <f>CoursesBasis!O11</f>
        <v>4.0500000000000001E-2</v>
      </c>
      <c r="C55" s="134">
        <f t="shared" si="8"/>
        <v>0</v>
      </c>
      <c r="D55" s="134" t="str">
        <f t="shared" si="9"/>
        <v/>
      </c>
      <c r="E55" s="134" t="str">
        <f t="shared" si="10"/>
        <v/>
      </c>
      <c r="F55" s="134" t="e">
        <f t="shared" si="11"/>
        <v>#N/A</v>
      </c>
    </row>
    <row r="56" spans="1:6" x14ac:dyDescent="0.2">
      <c r="A56" s="134" t="str">
        <f>CoursesBasis!$F12&amp;CoursesBasis!O$2</f>
        <v>LE1IK</v>
      </c>
      <c r="B56" s="135">
        <f>CoursesBasis!O12</f>
        <v>5.174999999999999E-2</v>
      </c>
      <c r="C56" s="134">
        <f t="shared" si="8"/>
        <v>0</v>
      </c>
      <c r="D56" s="134" t="str">
        <f t="shared" si="9"/>
        <v/>
      </c>
      <c r="E56" s="134" t="str">
        <f t="shared" si="10"/>
        <v/>
      </c>
      <c r="F56" s="134">
        <f t="shared" si="11"/>
        <v>0</v>
      </c>
    </row>
    <row r="57" spans="1:6" x14ac:dyDescent="0.2">
      <c r="A57" s="134" t="str">
        <f>CoursesBasis!$F13&amp;CoursesBasis!O$2</f>
        <v>LE2IK</v>
      </c>
      <c r="B57" s="135">
        <f>CoursesBasis!O13</f>
        <v>5.1062499999999997E-2</v>
      </c>
      <c r="C57" s="134">
        <f t="shared" si="8"/>
        <v>0</v>
      </c>
      <c r="D57" s="134" t="str">
        <f t="shared" si="9"/>
        <v/>
      </c>
      <c r="E57" s="134" t="str">
        <f t="shared" si="10"/>
        <v/>
      </c>
      <c r="F57" s="134" t="e">
        <f t="shared" si="11"/>
        <v>#N/A</v>
      </c>
    </row>
    <row r="58" spans="1:6" x14ac:dyDescent="0.2">
      <c r="A58" s="134" t="str">
        <f>CoursesBasis!$F14&amp;CoursesBasis!O$2</f>
        <v>LE3IK</v>
      </c>
      <c r="B58" s="135">
        <f>CoursesBasis!O14</f>
        <v>5.2156250000000001E-2</v>
      </c>
      <c r="C58" s="134">
        <f t="shared" si="8"/>
        <v>0</v>
      </c>
      <c r="D58" s="134" t="str">
        <f t="shared" si="9"/>
        <v/>
      </c>
      <c r="E58" s="134" t="str">
        <f t="shared" si="10"/>
        <v/>
      </c>
      <c r="F58" s="134" t="e">
        <f t="shared" si="11"/>
        <v>#N/A</v>
      </c>
    </row>
    <row r="59" spans="1:6" x14ac:dyDescent="0.2">
      <c r="A59" s="134" t="str">
        <f>CoursesBasis!$F15&amp;CoursesBasis!O$2</f>
        <v>LE4IK</v>
      </c>
      <c r="B59" s="135">
        <f>CoursesBasis!O15</f>
        <v>5.6812499999999995E-2</v>
      </c>
      <c r="C59" s="134">
        <f t="shared" si="8"/>
        <v>0</v>
      </c>
      <c r="D59" s="134" t="str">
        <f t="shared" si="9"/>
        <v/>
      </c>
      <c r="E59" s="134" t="str">
        <f t="shared" si="10"/>
        <v/>
      </c>
      <c r="F59" s="134">
        <f t="shared" si="11"/>
        <v>0</v>
      </c>
    </row>
    <row r="60" spans="1:6" x14ac:dyDescent="0.2">
      <c r="A60" s="134" t="str">
        <f>CoursesBasis!$F16&amp;CoursesBasis!O$2</f>
        <v>LD1IK</v>
      </c>
      <c r="B60" s="135">
        <f>CoursesBasis!O16</f>
        <v>7.5140624999999989E-2</v>
      </c>
      <c r="C60" s="134">
        <f t="shared" si="8"/>
        <v>0</v>
      </c>
      <c r="D60" s="134" t="str">
        <f t="shared" si="9"/>
        <v/>
      </c>
      <c r="E60" s="134" t="str">
        <f t="shared" si="10"/>
        <v/>
      </c>
      <c r="F60" s="134" t="e">
        <f t="shared" si="11"/>
        <v>#N/A</v>
      </c>
    </row>
    <row r="61" spans="1:6" x14ac:dyDescent="0.2">
      <c r="A61" s="134" t="str">
        <f>CoursesBasis!$F17&amp;CoursesBasis!O$2</f>
        <v>LD2IK</v>
      </c>
      <c r="B61" s="135">
        <f>CoursesBasis!O17</f>
        <v>7.09734375E-2</v>
      </c>
      <c r="C61" s="134">
        <f t="shared" si="8"/>
        <v>0</v>
      </c>
      <c r="D61" s="134" t="str">
        <f t="shared" si="9"/>
        <v/>
      </c>
      <c r="E61" s="134" t="str">
        <f t="shared" si="10"/>
        <v/>
      </c>
      <c r="F61" s="134" t="e">
        <f t="shared" si="11"/>
        <v>#N/A</v>
      </c>
    </row>
    <row r="62" spans="1:6" x14ac:dyDescent="0.2">
      <c r="A62" s="134" t="str">
        <f>CoursesBasis!$F18&amp;CoursesBasis!O$2</f>
        <v>LD3IK</v>
      </c>
      <c r="B62" s="135">
        <f>CoursesBasis!O18</f>
        <v>7.2810937500000006E-2</v>
      </c>
      <c r="C62" s="134">
        <f t="shared" si="8"/>
        <v>0</v>
      </c>
      <c r="D62" s="134" t="str">
        <f t="shared" si="9"/>
        <v/>
      </c>
      <c r="E62" s="134" t="str">
        <f t="shared" si="10"/>
        <v/>
      </c>
      <c r="F62" s="134" t="e">
        <f t="shared" si="11"/>
        <v>#N/A</v>
      </c>
    </row>
    <row r="63" spans="1:6" x14ac:dyDescent="0.2">
      <c r="A63" s="134" t="str">
        <f>CoursesBasis!$F19&amp;CoursesBasis!O$2</f>
        <v>ST1IK</v>
      </c>
      <c r="B63" s="135">
        <f>CoursesBasis!O19</f>
        <v>2.7449999999999999E-2</v>
      </c>
      <c r="C63" s="134">
        <f t="shared" si="8"/>
        <v>0</v>
      </c>
      <c r="D63" s="134" t="str">
        <f t="shared" si="9"/>
        <v/>
      </c>
      <c r="E63" s="134" t="str">
        <f t="shared" si="10"/>
        <v/>
      </c>
      <c r="F63" s="134" t="e">
        <f t="shared" si="11"/>
        <v>#N/A</v>
      </c>
    </row>
    <row r="64" spans="1:6" x14ac:dyDescent="0.2">
      <c r="A64" s="134" t="str">
        <f>CoursesBasis!$F20&amp;CoursesBasis!O$2</f>
        <v>LT1IK</v>
      </c>
      <c r="B64" s="135">
        <f>CoursesBasis!O20</f>
        <v>4.9093749999999999E-2</v>
      </c>
      <c r="C64" s="134">
        <f t="shared" si="8"/>
        <v>0</v>
      </c>
      <c r="D64" s="134" t="str">
        <f t="shared" si="9"/>
        <v/>
      </c>
      <c r="E64" s="134" t="str">
        <f t="shared" si="10"/>
        <v/>
      </c>
      <c r="F64" s="134" t="e">
        <f t="shared" si="11"/>
        <v>#N/A</v>
      </c>
    </row>
    <row r="65" spans="1:6" x14ac:dyDescent="0.2">
      <c r="A65" s="134" t="str">
        <f>CoursesBasis!$F21&amp;CoursesBasis!O$2</f>
        <v>SEIK</v>
      </c>
      <c r="B65" s="135">
        <f>CoursesBasis!O21</f>
        <v>2.2260937499999998E-2</v>
      </c>
      <c r="C65" s="134">
        <f t="shared" si="8"/>
        <v>0</v>
      </c>
      <c r="D65" s="134" t="str">
        <f t="shared" si="9"/>
        <v/>
      </c>
      <c r="E65" s="134" t="str">
        <f t="shared" si="10"/>
        <v/>
      </c>
      <c r="F65" s="134" t="e">
        <f t="shared" si="11"/>
        <v>#N/A</v>
      </c>
    </row>
    <row r="66" spans="1:6" x14ac:dyDescent="0.2">
      <c r="A66" s="134" t="str">
        <f>CoursesBasis!$F22&amp;CoursesBasis!O$2</f>
        <v>SDIK</v>
      </c>
      <c r="B66" s="135">
        <f>CoursesBasis!O22</f>
        <v>3.85625E-2</v>
      </c>
      <c r="C66" s="134">
        <f t="shared" si="8"/>
        <v>0</v>
      </c>
      <c r="D66" s="134" t="str">
        <f t="shared" si="9"/>
        <v/>
      </c>
      <c r="E66" s="134" t="str">
        <f t="shared" si="10"/>
        <v/>
      </c>
      <c r="F66" s="134" t="e">
        <f t="shared" si="11"/>
        <v>#N/A</v>
      </c>
    </row>
    <row r="67" spans="1:6" x14ac:dyDescent="0.2">
      <c r="A67" s="134" t="str">
        <f>CoursesBasis!$F23&amp;CoursesBasis!O$2</f>
        <v>LEIK</v>
      </c>
      <c r="B67" s="135">
        <f>CoursesBasis!O23</f>
        <v>5.2945312500000001E-2</v>
      </c>
      <c r="C67" s="134">
        <f t="shared" si="8"/>
        <v>0</v>
      </c>
      <c r="D67" s="134" t="str">
        <f t="shared" si="9"/>
        <v/>
      </c>
      <c r="E67" s="134" t="str">
        <f t="shared" si="10"/>
        <v/>
      </c>
      <c r="F67" s="134" t="e">
        <f t="shared" si="11"/>
        <v>#N/A</v>
      </c>
    </row>
    <row r="68" spans="1:6" x14ac:dyDescent="0.2">
      <c r="A68" s="134" t="str">
        <f>CoursesBasis!$F24&amp;CoursesBasis!O$2</f>
        <v>LDIK</v>
      </c>
      <c r="B68" s="135">
        <f>CoursesBasis!O24</f>
        <v>7.2974999999999998E-2</v>
      </c>
      <c r="C68" s="134">
        <f t="shared" si="8"/>
        <v>0</v>
      </c>
      <c r="D68" s="134" t="str">
        <f t="shared" si="9"/>
        <v/>
      </c>
      <c r="E68" s="134" t="str">
        <f t="shared" si="10"/>
        <v/>
      </c>
      <c r="F68" s="134" t="e">
        <f t="shared" si="11"/>
        <v>#N/A</v>
      </c>
    </row>
    <row r="69" spans="1:6" x14ac:dyDescent="0.2">
      <c r="A69" s="5" t="str">
        <f>CoursesBasis!F3&amp;CoursesBasis!P$2</f>
        <v>SF1MS</v>
      </c>
      <c r="B69" s="83">
        <f>CoursesBasis!P3</f>
        <v>3.7340277777777778E-2</v>
      </c>
      <c r="C69" s="77">
        <f t="shared" si="8"/>
        <v>0</v>
      </c>
      <c r="D69" s="83" t="str">
        <f t="shared" si="9"/>
        <v/>
      </c>
      <c r="E69" s="83" t="str">
        <f t="shared" si="10"/>
        <v/>
      </c>
      <c r="F69" s="83" t="e">
        <f t="shared" si="11"/>
        <v>#N/A</v>
      </c>
    </row>
    <row r="70" spans="1:6" x14ac:dyDescent="0.2">
      <c r="A70" s="5" t="str">
        <f>CoursesBasis!F4&amp;CoursesBasis!P$2</f>
        <v>SE1MS</v>
      </c>
      <c r="B70" s="83">
        <f>CoursesBasis!P4</f>
        <v>2.3067187499999999E-2</v>
      </c>
      <c r="C70" s="77">
        <f t="shared" ref="C70:C90" si="12">IF(ISNA(F70),0,IF(F70&gt;0,COUNTIF(BahnLaufzeiten,A70),0))</f>
        <v>0</v>
      </c>
      <c r="D70" s="83" t="str">
        <f t="shared" ref="D70:D90" si="13">IF(C70&gt;0,SUMIF(BahnLaufzeiten,A70,IstLaufzeiten),"")</f>
        <v/>
      </c>
      <c r="E70" s="83" t="str">
        <f t="shared" ref="E70:E90" si="14">IF(C70&gt;0,D70/C70,"")</f>
        <v/>
      </c>
      <c r="F70" s="83" t="e">
        <f t="shared" ref="F70:F90" si="15">VLOOKUP(A70,BahnLaufzeiten,13,FALSE)</f>
        <v>#N/A</v>
      </c>
    </row>
    <row r="71" spans="1:6" x14ac:dyDescent="0.2">
      <c r="A71" s="5" t="str">
        <f>CoursesBasis!F5&amp;CoursesBasis!P$2</f>
        <v>SE2MS</v>
      </c>
      <c r="B71" s="83">
        <f>CoursesBasis!P5</f>
        <v>2.4225E-2</v>
      </c>
      <c r="C71" s="77">
        <f t="shared" si="12"/>
        <v>0</v>
      </c>
      <c r="D71" s="83" t="str">
        <f t="shared" si="13"/>
        <v/>
      </c>
      <c r="E71" s="83" t="str">
        <f t="shared" si="14"/>
        <v/>
      </c>
      <c r="F71" s="83" t="e">
        <f t="shared" si="15"/>
        <v>#N/A</v>
      </c>
    </row>
    <row r="72" spans="1:6" x14ac:dyDescent="0.2">
      <c r="A72" s="5" t="str">
        <f>CoursesBasis!F6&amp;CoursesBasis!P$2</f>
        <v>SE3MS</v>
      </c>
      <c r="B72" s="83">
        <f>CoursesBasis!P6</f>
        <v>2.2057812499999999E-2</v>
      </c>
      <c r="C72" s="77">
        <f t="shared" si="12"/>
        <v>0</v>
      </c>
      <c r="D72" s="83" t="str">
        <f t="shared" si="13"/>
        <v/>
      </c>
      <c r="E72" s="83" t="str">
        <f t="shared" si="14"/>
        <v/>
      </c>
      <c r="F72" s="83" t="e">
        <f t="shared" si="15"/>
        <v>#N/A</v>
      </c>
    </row>
    <row r="73" spans="1:6" x14ac:dyDescent="0.2">
      <c r="A73" s="5" t="str">
        <f>CoursesBasis!F7&amp;CoursesBasis!P$2</f>
        <v>SE4MS</v>
      </c>
      <c r="B73" s="83">
        <f>CoursesBasis!P7</f>
        <v>2.4640624999999996E-2</v>
      </c>
      <c r="C73" s="77">
        <f t="shared" si="12"/>
        <v>0</v>
      </c>
      <c r="D73" s="83" t="str">
        <f t="shared" si="13"/>
        <v/>
      </c>
      <c r="E73" s="83" t="str">
        <f t="shared" si="14"/>
        <v/>
      </c>
      <c r="F73" s="83" t="e">
        <f t="shared" si="15"/>
        <v>#N/A</v>
      </c>
    </row>
    <row r="74" spans="1:6" x14ac:dyDescent="0.2">
      <c r="A74" s="5" t="str">
        <f>CoursesBasis!F8&amp;CoursesBasis!P$2</f>
        <v>SD1MS</v>
      </c>
      <c r="B74" s="83">
        <f>CoursesBasis!P8</f>
        <v>3.9550347222222219E-2</v>
      </c>
      <c r="C74" s="77">
        <f t="shared" si="12"/>
        <v>0</v>
      </c>
      <c r="D74" s="83" t="str">
        <f t="shared" si="13"/>
        <v/>
      </c>
      <c r="E74" s="83" t="str">
        <f t="shared" si="14"/>
        <v/>
      </c>
      <c r="F74" s="83" t="e">
        <f t="shared" si="15"/>
        <v>#N/A</v>
      </c>
    </row>
    <row r="75" spans="1:6" x14ac:dyDescent="0.2">
      <c r="A75" s="5" t="str">
        <f>CoursesBasis!F9&amp;CoursesBasis!P$2</f>
        <v>SD2MS</v>
      </c>
      <c r="B75" s="83">
        <f>CoursesBasis!P9</f>
        <v>4.2980902777777774E-2</v>
      </c>
      <c r="C75" s="77">
        <f t="shared" si="12"/>
        <v>0</v>
      </c>
      <c r="D75" s="83" t="str">
        <f t="shared" si="13"/>
        <v/>
      </c>
      <c r="E75" s="83" t="str">
        <f t="shared" si="14"/>
        <v/>
      </c>
      <c r="F75" s="83" t="e">
        <f t="shared" si="15"/>
        <v>#N/A</v>
      </c>
    </row>
    <row r="76" spans="1:6" x14ac:dyDescent="0.2">
      <c r="A76" s="5" t="str">
        <f>CoursesBasis!F10&amp;CoursesBasis!P$2</f>
        <v>SD3MS</v>
      </c>
      <c r="B76" s="83">
        <f>CoursesBasis!P10</f>
        <v>3.7538194444444443E-2</v>
      </c>
      <c r="C76" s="77">
        <f t="shared" si="12"/>
        <v>0</v>
      </c>
      <c r="D76" s="83" t="str">
        <f t="shared" si="13"/>
        <v/>
      </c>
      <c r="E76" s="83" t="str">
        <f t="shared" si="14"/>
        <v/>
      </c>
      <c r="F76" s="83">
        <f t="shared" si="15"/>
        <v>0</v>
      </c>
    </row>
    <row r="77" spans="1:6" x14ac:dyDescent="0.2">
      <c r="A77" s="5" t="str">
        <f>CoursesBasis!F11&amp;CoursesBasis!P$2</f>
        <v>SD4MS</v>
      </c>
      <c r="B77" s="83">
        <f>CoursesBasis!P11</f>
        <v>4.2750000000000003E-2</v>
      </c>
      <c r="C77" s="77">
        <f t="shared" si="12"/>
        <v>0</v>
      </c>
      <c r="D77" s="83" t="str">
        <f t="shared" si="13"/>
        <v/>
      </c>
      <c r="E77" s="83" t="str">
        <f t="shared" si="14"/>
        <v/>
      </c>
      <c r="F77" s="83" t="e">
        <f t="shared" si="15"/>
        <v>#N/A</v>
      </c>
    </row>
    <row r="78" spans="1:6" x14ac:dyDescent="0.2">
      <c r="A78" s="5" t="str">
        <f>CoursesBasis!F12&amp;CoursesBasis!P$2</f>
        <v>LE1MS</v>
      </c>
      <c r="B78" s="83">
        <f>CoursesBasis!P12</f>
        <v>5.4624999999999993E-2</v>
      </c>
      <c r="C78" s="77">
        <f t="shared" si="12"/>
        <v>0</v>
      </c>
      <c r="D78" s="83" t="str">
        <f t="shared" si="13"/>
        <v/>
      </c>
      <c r="E78" s="83" t="str">
        <f t="shared" si="14"/>
        <v/>
      </c>
      <c r="F78" s="83" t="e">
        <f t="shared" si="15"/>
        <v>#N/A</v>
      </c>
    </row>
    <row r="79" spans="1:6" x14ac:dyDescent="0.2">
      <c r="A79" s="5" t="str">
        <f>CoursesBasis!F13&amp;CoursesBasis!P$2</f>
        <v>LE2MS</v>
      </c>
      <c r="B79" s="83">
        <f>CoursesBasis!P13</f>
        <v>5.3899305555555554E-2</v>
      </c>
      <c r="C79" s="77">
        <f t="shared" si="12"/>
        <v>0</v>
      </c>
      <c r="D79" s="83" t="str">
        <f t="shared" si="13"/>
        <v/>
      </c>
      <c r="E79" s="83" t="str">
        <f t="shared" si="14"/>
        <v/>
      </c>
      <c r="F79" s="83" t="e">
        <f t="shared" si="15"/>
        <v>#N/A</v>
      </c>
    </row>
    <row r="80" spans="1:6" x14ac:dyDescent="0.2">
      <c r="A80" s="5" t="str">
        <f>CoursesBasis!F14&amp;CoursesBasis!P$2</f>
        <v>LE3MS</v>
      </c>
      <c r="B80" s="83">
        <f>CoursesBasis!P14</f>
        <v>5.505381944444445E-2</v>
      </c>
      <c r="C80" s="77">
        <f t="shared" si="12"/>
        <v>0</v>
      </c>
      <c r="D80" s="83" t="str">
        <f t="shared" si="13"/>
        <v/>
      </c>
      <c r="E80" s="83" t="str">
        <f t="shared" si="14"/>
        <v/>
      </c>
      <c r="F80" s="83">
        <f t="shared" si="15"/>
        <v>0</v>
      </c>
    </row>
    <row r="81" spans="1:6" x14ac:dyDescent="0.2">
      <c r="A81" s="5" t="str">
        <f>CoursesBasis!F15&amp;CoursesBasis!P$2</f>
        <v>LE4MS</v>
      </c>
      <c r="B81" s="83">
        <f>CoursesBasis!P15</f>
        <v>5.9968750000000001E-2</v>
      </c>
      <c r="C81" s="77">
        <f t="shared" si="12"/>
        <v>0</v>
      </c>
      <c r="D81" s="83" t="str">
        <f t="shared" si="13"/>
        <v/>
      </c>
      <c r="E81" s="83" t="str">
        <f t="shared" si="14"/>
        <v/>
      </c>
      <c r="F81" s="83" t="e">
        <f t="shared" si="15"/>
        <v>#N/A</v>
      </c>
    </row>
    <row r="82" spans="1:6" x14ac:dyDescent="0.2">
      <c r="A82" s="5" t="str">
        <f>CoursesBasis!F16&amp;CoursesBasis!P$2</f>
        <v>LD1MS</v>
      </c>
      <c r="B82" s="83">
        <f>CoursesBasis!P16</f>
        <v>7.9315104166666664E-2</v>
      </c>
      <c r="C82" s="77">
        <f t="shared" si="12"/>
        <v>0</v>
      </c>
      <c r="D82" s="83" t="str">
        <f t="shared" si="13"/>
        <v/>
      </c>
      <c r="E82" s="83" t="str">
        <f t="shared" si="14"/>
        <v/>
      </c>
      <c r="F82" s="83">
        <f t="shared" si="15"/>
        <v>0</v>
      </c>
    </row>
    <row r="83" spans="1:6" x14ac:dyDescent="0.2">
      <c r="A83" s="5" t="str">
        <f>CoursesBasis!F17&amp;CoursesBasis!P$2</f>
        <v>LD2MS</v>
      </c>
      <c r="B83" s="83">
        <f>CoursesBasis!P17</f>
        <v>7.4916406250000012E-2</v>
      </c>
      <c r="C83" s="77">
        <f t="shared" si="12"/>
        <v>0</v>
      </c>
      <c r="D83" s="83" t="str">
        <f t="shared" si="13"/>
        <v/>
      </c>
      <c r="E83" s="83" t="str">
        <f t="shared" si="14"/>
        <v/>
      </c>
      <c r="F83" s="83" t="e">
        <f t="shared" si="15"/>
        <v>#N/A</v>
      </c>
    </row>
    <row r="84" spans="1:6" x14ac:dyDescent="0.2">
      <c r="A84" s="5" t="str">
        <f>CoursesBasis!F18&amp;CoursesBasis!P$2</f>
        <v>LD3MS</v>
      </c>
      <c r="B84" s="83">
        <f>CoursesBasis!P18</f>
        <v>7.685598958333334E-2</v>
      </c>
      <c r="C84" s="77">
        <f t="shared" si="12"/>
        <v>0</v>
      </c>
      <c r="D84" s="83" t="str">
        <f t="shared" si="13"/>
        <v/>
      </c>
      <c r="E84" s="83" t="str">
        <f t="shared" si="14"/>
        <v/>
      </c>
      <c r="F84" s="83" t="e">
        <f t="shared" si="15"/>
        <v>#N/A</v>
      </c>
    </row>
    <row r="85" spans="1:6" x14ac:dyDescent="0.2">
      <c r="A85" s="5" t="str">
        <f>CoursesBasis!F19&amp;CoursesBasis!P$2</f>
        <v>ST1MS</v>
      </c>
      <c r="B85" s="83">
        <f>CoursesBasis!P19</f>
        <v>2.8975000000000001E-2</v>
      </c>
      <c r="C85" s="77">
        <f t="shared" si="12"/>
        <v>0</v>
      </c>
      <c r="D85" s="83" t="str">
        <f t="shared" si="13"/>
        <v/>
      </c>
      <c r="E85" s="83" t="str">
        <f t="shared" si="14"/>
        <v/>
      </c>
      <c r="F85" s="83" t="e">
        <f t="shared" si="15"/>
        <v>#N/A</v>
      </c>
    </row>
    <row r="86" spans="1:6" x14ac:dyDescent="0.2">
      <c r="A86" s="5" t="str">
        <f>CoursesBasis!F20&amp;CoursesBasis!P$2</f>
        <v>LT1MS</v>
      </c>
      <c r="B86" s="83">
        <f>CoursesBasis!P20</f>
        <v>5.1821180555555561E-2</v>
      </c>
      <c r="C86" s="77">
        <f t="shared" si="12"/>
        <v>0</v>
      </c>
      <c r="D86" s="83" t="str">
        <f t="shared" si="13"/>
        <v/>
      </c>
      <c r="E86" s="83" t="str">
        <f t="shared" si="14"/>
        <v/>
      </c>
      <c r="F86" s="83" t="e">
        <f t="shared" si="15"/>
        <v>#N/A</v>
      </c>
    </row>
    <row r="87" spans="1:6" x14ac:dyDescent="0.2">
      <c r="A87" s="5" t="str">
        <f>CoursesBasis!F21&amp;CoursesBasis!P$2</f>
        <v>SEMS</v>
      </c>
      <c r="B87" s="83">
        <f>CoursesBasis!P21</f>
        <v>2.3497656249999999E-2</v>
      </c>
      <c r="C87" s="77">
        <f t="shared" si="12"/>
        <v>0</v>
      </c>
      <c r="D87" s="83" t="str">
        <f t="shared" si="13"/>
        <v/>
      </c>
      <c r="E87" s="83" t="str">
        <f t="shared" si="14"/>
        <v/>
      </c>
      <c r="F87" s="83" t="e">
        <f t="shared" si="15"/>
        <v>#N/A</v>
      </c>
    </row>
    <row r="88" spans="1:6" x14ac:dyDescent="0.2">
      <c r="A88" s="5" t="str">
        <f>CoursesBasis!F22&amp;CoursesBasis!P$2</f>
        <v>SDMS</v>
      </c>
      <c r="B88" s="83">
        <f>CoursesBasis!P22</f>
        <v>4.0704861111111108E-2</v>
      </c>
      <c r="C88" s="77">
        <f t="shared" si="12"/>
        <v>0</v>
      </c>
      <c r="D88" s="83" t="str">
        <f t="shared" si="13"/>
        <v/>
      </c>
      <c r="E88" s="83" t="str">
        <f t="shared" si="14"/>
        <v/>
      </c>
      <c r="F88" s="83" t="e">
        <f t="shared" si="15"/>
        <v>#N/A</v>
      </c>
    </row>
    <row r="89" spans="1:6" x14ac:dyDescent="0.2">
      <c r="A89" s="5" t="str">
        <f>CoursesBasis!F23&amp;CoursesBasis!P$2</f>
        <v>LEMS</v>
      </c>
      <c r="B89" s="83">
        <f>CoursesBasis!P23</f>
        <v>5.5886718750000008E-2</v>
      </c>
      <c r="C89" s="77">
        <f t="shared" si="12"/>
        <v>0</v>
      </c>
      <c r="D89" s="83" t="str">
        <f t="shared" si="13"/>
        <v/>
      </c>
      <c r="E89" s="83" t="str">
        <f t="shared" si="14"/>
        <v/>
      </c>
      <c r="F89" s="83" t="e">
        <f t="shared" si="15"/>
        <v>#N/A</v>
      </c>
    </row>
    <row r="90" spans="1:6" x14ac:dyDescent="0.2">
      <c r="A90" s="5" t="str">
        <f>CoursesBasis!F24&amp;CoursesBasis!P$2</f>
        <v>LDMS</v>
      </c>
      <c r="B90" s="83">
        <f>CoursesBasis!P24</f>
        <v>7.7029166666666662E-2</v>
      </c>
      <c r="C90" s="77">
        <f t="shared" si="12"/>
        <v>0</v>
      </c>
      <c r="D90" s="83" t="str">
        <f t="shared" si="13"/>
        <v/>
      </c>
      <c r="E90" s="83" t="str">
        <f t="shared" si="14"/>
        <v/>
      </c>
      <c r="F90" s="83" t="e">
        <f t="shared" si="15"/>
        <v>#N/A</v>
      </c>
    </row>
    <row r="91" spans="1:6" x14ac:dyDescent="0.2">
      <c r="A91" s="134" t="str">
        <f>CoursesBasis!F3&amp;CoursesBasis!Q$2</f>
        <v>SF1LL</v>
      </c>
      <c r="B91" s="135">
        <f>CoursesBasis!Q3</f>
        <v>3.9305555555555552E-2</v>
      </c>
      <c r="C91" s="134"/>
      <c r="D91" s="134"/>
      <c r="E91" s="134"/>
      <c r="F91" s="134"/>
    </row>
    <row r="92" spans="1:6" x14ac:dyDescent="0.2">
      <c r="A92" s="134" t="str">
        <f>CoursesBasis!F4&amp;CoursesBasis!Q$2</f>
        <v>SE1LL</v>
      </c>
      <c r="B92" s="135">
        <f>CoursesBasis!Q4</f>
        <v>2.4281249999999997E-2</v>
      </c>
      <c r="C92" s="134"/>
      <c r="D92" s="134"/>
      <c r="E92" s="134"/>
      <c r="F92" s="134"/>
    </row>
    <row r="93" spans="1:6" x14ac:dyDescent="0.2">
      <c r="A93" s="134" t="str">
        <f>CoursesBasis!F5&amp;CoursesBasis!Q$2</f>
        <v>SE2LL</v>
      </c>
      <c r="B93" s="135">
        <f>CoursesBasis!Q5</f>
        <v>2.5499999999999998E-2</v>
      </c>
      <c r="C93" s="134"/>
      <c r="D93" s="134"/>
      <c r="E93" s="134"/>
      <c r="F93" s="134"/>
    </row>
    <row r="94" spans="1:6" x14ac:dyDescent="0.2">
      <c r="A94" s="134" t="str">
        <f>CoursesBasis!F6&amp;CoursesBasis!Q$2</f>
        <v>SE3LL</v>
      </c>
      <c r="B94" s="135">
        <f>CoursesBasis!Q6</f>
        <v>2.3218749999999996E-2</v>
      </c>
      <c r="C94" s="134"/>
      <c r="D94" s="134"/>
      <c r="E94" s="134"/>
      <c r="F94" s="134"/>
    </row>
    <row r="95" spans="1:6" x14ac:dyDescent="0.2">
      <c r="A95" s="134" t="str">
        <f>CoursesBasis!F7&amp;CoursesBasis!Q$2</f>
        <v>SE4LL</v>
      </c>
      <c r="B95" s="135">
        <f>CoursesBasis!Q7</f>
        <v>2.5937499999999995E-2</v>
      </c>
      <c r="C95" s="134"/>
      <c r="D95" s="134"/>
      <c r="E95" s="134"/>
      <c r="F95" s="134"/>
    </row>
    <row r="96" spans="1:6" x14ac:dyDescent="0.2">
      <c r="A96" s="134" t="str">
        <f>CoursesBasis!F8&amp;CoursesBasis!Q$2</f>
        <v>SD1LL</v>
      </c>
      <c r="B96" s="135">
        <f>CoursesBasis!Q8</f>
        <v>4.1631944444444444E-2</v>
      </c>
      <c r="C96" s="134"/>
      <c r="D96" s="134"/>
      <c r="E96" s="134"/>
      <c r="F96" s="134"/>
    </row>
    <row r="97" spans="1:6" x14ac:dyDescent="0.2">
      <c r="A97" s="134" t="str">
        <f>CoursesBasis!F9&amp;CoursesBasis!Q$2</f>
        <v>SD2LL</v>
      </c>
      <c r="B97" s="135">
        <f>CoursesBasis!Q9</f>
        <v>4.524305555555555E-2</v>
      </c>
      <c r="C97" s="134"/>
      <c r="D97" s="134"/>
      <c r="E97" s="134"/>
      <c r="F97" s="134"/>
    </row>
    <row r="98" spans="1:6" x14ac:dyDescent="0.2">
      <c r="A98" s="134" t="str">
        <f>CoursesBasis!F10&amp;CoursesBasis!Q$2</f>
        <v>SD3LL</v>
      </c>
      <c r="B98" s="135">
        <f>CoursesBasis!Q10</f>
        <v>3.951388888888889E-2</v>
      </c>
      <c r="C98" s="134"/>
      <c r="D98" s="134"/>
      <c r="E98" s="134"/>
      <c r="F98" s="134"/>
    </row>
    <row r="99" spans="1:6" x14ac:dyDescent="0.2">
      <c r="A99" s="134" t="str">
        <f>CoursesBasis!F11&amp;CoursesBasis!Q$2</f>
        <v>SD4LL</v>
      </c>
      <c r="B99" s="135">
        <f>CoursesBasis!Q11</f>
        <v>4.4999999999999998E-2</v>
      </c>
      <c r="C99" s="134"/>
      <c r="D99" s="134"/>
      <c r="E99" s="134"/>
      <c r="F99" s="134"/>
    </row>
    <row r="100" spans="1:6" x14ac:dyDescent="0.2">
      <c r="A100" s="134" t="str">
        <f>CoursesBasis!F12&amp;CoursesBasis!Q$2</f>
        <v>LE1LL</v>
      </c>
      <c r="B100" s="135">
        <f>CoursesBasis!Q12</f>
        <v>5.7499999999999996E-2</v>
      </c>
      <c r="C100" s="134"/>
      <c r="D100" s="134"/>
      <c r="E100" s="134"/>
      <c r="F100" s="134"/>
    </row>
    <row r="101" spans="1:6" x14ac:dyDescent="0.2">
      <c r="A101" s="134" t="str">
        <f>CoursesBasis!F13&amp;CoursesBasis!Q$2</f>
        <v>LE2LL</v>
      </c>
      <c r="B101" s="135">
        <f>CoursesBasis!Q13</f>
        <v>5.6736111111111105E-2</v>
      </c>
      <c r="C101" s="134"/>
      <c r="D101" s="134"/>
      <c r="E101" s="134"/>
      <c r="F101" s="134"/>
    </row>
    <row r="102" spans="1:6" x14ac:dyDescent="0.2">
      <c r="A102" s="134" t="str">
        <f>CoursesBasis!F14&amp;CoursesBasis!Q$2</f>
        <v>LE3LL</v>
      </c>
      <c r="B102" s="135">
        <f>CoursesBasis!Q14</f>
        <v>5.7951388888888893E-2</v>
      </c>
      <c r="C102" s="134"/>
      <c r="D102" s="134"/>
      <c r="E102" s="134"/>
      <c r="F102" s="134"/>
    </row>
    <row r="103" spans="1:6" x14ac:dyDescent="0.2">
      <c r="A103" s="134" t="str">
        <f>CoursesBasis!F15&amp;CoursesBasis!Q$2</f>
        <v>LE4LL</v>
      </c>
      <c r="B103" s="135">
        <f>CoursesBasis!Q15</f>
        <v>6.3125000000000001E-2</v>
      </c>
      <c r="C103" s="134"/>
      <c r="D103" s="134"/>
      <c r="E103" s="134"/>
      <c r="F103" s="134"/>
    </row>
    <row r="104" spans="1:6" x14ac:dyDescent="0.2">
      <c r="A104" s="134" t="str">
        <f>CoursesBasis!F16&amp;CoursesBasis!Q$2</f>
        <v>LD1LL</v>
      </c>
      <c r="B104" s="135">
        <f>CoursesBasis!Q16</f>
        <v>8.3489583333333325E-2</v>
      </c>
      <c r="C104" s="134"/>
      <c r="D104" s="134"/>
      <c r="E104" s="134"/>
      <c r="F104" s="134"/>
    </row>
    <row r="105" spans="1:6" x14ac:dyDescent="0.2">
      <c r="A105" s="134" t="str">
        <f>CoursesBasis!F17&amp;CoursesBasis!Q$2</f>
        <v>LD2LL</v>
      </c>
      <c r="B105" s="135">
        <f>CoursesBasis!Q17</f>
        <v>7.8859375000000009E-2</v>
      </c>
      <c r="C105" s="134"/>
      <c r="D105" s="134"/>
      <c r="E105" s="134"/>
      <c r="F105" s="134"/>
    </row>
    <row r="106" spans="1:6" x14ac:dyDescent="0.2">
      <c r="A106" s="134" t="str">
        <f>CoursesBasis!F18&amp;CoursesBasis!Q$2</f>
        <v>LD3LL</v>
      </c>
      <c r="B106" s="135">
        <f>CoursesBasis!Q18</f>
        <v>8.0901041666666673E-2</v>
      </c>
      <c r="C106" s="134"/>
      <c r="D106" s="134"/>
      <c r="E106" s="134"/>
      <c r="F106" s="134"/>
    </row>
    <row r="107" spans="1:6" x14ac:dyDescent="0.2">
      <c r="A107" s="134" t="str">
        <f>CoursesBasis!F19&amp;CoursesBasis!Q$2</f>
        <v>ST1LL</v>
      </c>
      <c r="B107" s="135">
        <f>CoursesBasis!Q19</f>
        <v>3.0499999999999996E-2</v>
      </c>
      <c r="C107" s="134"/>
      <c r="D107" s="134"/>
      <c r="E107" s="134"/>
      <c r="F107" s="134"/>
    </row>
    <row r="108" spans="1:6" x14ac:dyDescent="0.2">
      <c r="A108" s="134" t="str">
        <f>CoursesBasis!F20&amp;CoursesBasis!Q$2</f>
        <v>LT1LL</v>
      </c>
      <c r="B108" s="135">
        <f>CoursesBasis!Q20</f>
        <v>5.454861111111111E-2</v>
      </c>
      <c r="C108" s="134"/>
      <c r="D108" s="134"/>
      <c r="E108" s="134"/>
      <c r="F108" s="134"/>
    </row>
    <row r="109" spans="1:6" x14ac:dyDescent="0.2">
      <c r="A109" s="134" t="str">
        <f>CoursesBasis!F21&amp;CoursesBasis!Q$2</f>
        <v>SELL</v>
      </c>
      <c r="B109" s="135">
        <f>CoursesBasis!Q21</f>
        <v>2.4734374999999996E-2</v>
      </c>
      <c r="C109" s="134"/>
      <c r="D109" s="134"/>
      <c r="E109" s="134"/>
      <c r="F109" s="134"/>
    </row>
    <row r="110" spans="1:6" x14ac:dyDescent="0.2">
      <c r="A110" s="134" t="str">
        <f>CoursesBasis!F22&amp;CoursesBasis!Q$2</f>
        <v>SDLL</v>
      </c>
      <c r="B110" s="135">
        <f>CoursesBasis!Q22</f>
        <v>4.2847222222222217E-2</v>
      </c>
      <c r="C110" s="134"/>
      <c r="D110" s="134"/>
      <c r="E110" s="134"/>
      <c r="F110" s="134"/>
    </row>
    <row r="111" spans="1:6" x14ac:dyDescent="0.2">
      <c r="A111" s="134" t="str">
        <f>CoursesBasis!F23&amp;CoursesBasis!Q$2</f>
        <v>LELL</v>
      </c>
      <c r="B111" s="135">
        <f>CoursesBasis!Q23</f>
        <v>5.8828125000000009E-2</v>
      </c>
      <c r="C111" s="134"/>
      <c r="D111" s="134"/>
      <c r="E111" s="134"/>
      <c r="F111" s="134"/>
    </row>
    <row r="112" spans="1:6" x14ac:dyDescent="0.2">
      <c r="A112" s="134" t="str">
        <f>CoursesBasis!F24&amp;CoursesBasis!Q$2</f>
        <v>LDLL</v>
      </c>
      <c r="B112" s="135">
        <f>CoursesBasis!Q24</f>
        <v>8.1083333333333327E-2</v>
      </c>
      <c r="C112" s="134"/>
      <c r="D112" s="134"/>
      <c r="E112" s="134"/>
      <c r="F112" s="134"/>
    </row>
    <row r="113" spans="1:6" x14ac:dyDescent="0.2">
      <c r="A113" s="5" t="str">
        <f>CoursesBasis!F3&amp;CoursesBasis!R$2</f>
        <v>SF1LT</v>
      </c>
      <c r="B113" s="83">
        <f>CoursesBasis!R3</f>
        <v>4.1270833333333333E-2</v>
      </c>
      <c r="C113" s="77"/>
      <c r="D113" s="83"/>
      <c r="E113" s="83"/>
      <c r="F113" s="83"/>
    </row>
    <row r="114" spans="1:6" x14ac:dyDescent="0.2">
      <c r="A114" s="5" t="str">
        <f>CoursesBasis!F4&amp;CoursesBasis!R$2</f>
        <v>SE1LT</v>
      </c>
      <c r="B114" s="83">
        <f>CoursesBasis!R4</f>
        <v>2.5495312499999999E-2</v>
      </c>
      <c r="C114" s="77"/>
      <c r="D114" s="83"/>
      <c r="E114" s="83"/>
      <c r="F114" s="83"/>
    </row>
    <row r="115" spans="1:6" x14ac:dyDescent="0.2">
      <c r="A115" s="5" t="str">
        <f>CoursesBasis!F5&amp;CoursesBasis!R$2</f>
        <v>SE2LT</v>
      </c>
      <c r="B115" s="83">
        <f>CoursesBasis!R5</f>
        <v>2.6775E-2</v>
      </c>
      <c r="C115" s="77"/>
      <c r="D115" s="83"/>
      <c r="E115" s="83"/>
      <c r="F115" s="83"/>
    </row>
    <row r="116" spans="1:6" x14ac:dyDescent="0.2">
      <c r="A116" s="5" t="str">
        <f>CoursesBasis!F6&amp;CoursesBasis!R$2</f>
        <v>SE3LT</v>
      </c>
      <c r="B116" s="83">
        <f>CoursesBasis!R6</f>
        <v>2.4379687499999997E-2</v>
      </c>
      <c r="C116" s="77"/>
      <c r="D116" s="83"/>
      <c r="E116" s="83"/>
      <c r="F116" s="83"/>
    </row>
    <row r="117" spans="1:6" x14ac:dyDescent="0.2">
      <c r="A117" s="5" t="str">
        <f>CoursesBasis!F7&amp;CoursesBasis!R$2</f>
        <v>SE4LT</v>
      </c>
      <c r="B117" s="83">
        <f>CoursesBasis!R7</f>
        <v>2.7234374999999995E-2</v>
      </c>
      <c r="C117" s="77"/>
      <c r="D117" s="83"/>
      <c r="E117" s="83"/>
      <c r="F117" s="83"/>
    </row>
    <row r="118" spans="1:6" x14ac:dyDescent="0.2">
      <c r="A118" s="5" t="str">
        <f>CoursesBasis!F8&amp;CoursesBasis!R$2</f>
        <v>SD1LT</v>
      </c>
      <c r="B118" s="83">
        <f>CoursesBasis!R8</f>
        <v>4.3713541666666661E-2</v>
      </c>
      <c r="C118" s="77"/>
      <c r="D118" s="83"/>
      <c r="E118" s="83"/>
      <c r="F118" s="83"/>
    </row>
    <row r="119" spans="1:6" x14ac:dyDescent="0.2">
      <c r="A119" s="5" t="str">
        <f>CoursesBasis!F9&amp;CoursesBasis!R$2</f>
        <v>SD2LT</v>
      </c>
      <c r="B119" s="83">
        <f>CoursesBasis!R9</f>
        <v>4.7505208333333326E-2</v>
      </c>
      <c r="C119" s="77"/>
      <c r="D119" s="83"/>
      <c r="E119" s="83"/>
      <c r="F119" s="83"/>
    </row>
    <row r="120" spans="1:6" x14ac:dyDescent="0.2">
      <c r="A120" s="5" t="str">
        <f>CoursesBasis!F10&amp;CoursesBasis!R$2</f>
        <v>SD3LT</v>
      </c>
      <c r="B120" s="83">
        <f>CoursesBasis!R10</f>
        <v>4.148958333333333E-2</v>
      </c>
      <c r="C120" s="77"/>
      <c r="D120" s="83"/>
      <c r="E120" s="83"/>
      <c r="F120" s="83"/>
    </row>
    <row r="121" spans="1:6" x14ac:dyDescent="0.2">
      <c r="A121" s="5" t="str">
        <f>CoursesBasis!F11&amp;CoursesBasis!R$2</f>
        <v>SD4LT</v>
      </c>
      <c r="B121" s="83">
        <f>CoursesBasis!R11</f>
        <v>4.725E-2</v>
      </c>
      <c r="C121" s="77"/>
      <c r="D121" s="83"/>
      <c r="E121" s="83"/>
      <c r="F121" s="83"/>
    </row>
    <row r="122" spans="1:6" x14ac:dyDescent="0.2">
      <c r="A122" s="5" t="str">
        <f>CoursesBasis!F12&amp;CoursesBasis!R$2</f>
        <v>LE1LT</v>
      </c>
      <c r="B122" s="83">
        <f>CoursesBasis!R12</f>
        <v>6.0374999999999991E-2</v>
      </c>
      <c r="C122" s="77"/>
      <c r="D122" s="83"/>
      <c r="E122" s="83"/>
      <c r="F122" s="83"/>
    </row>
    <row r="123" spans="1:6" x14ac:dyDescent="0.2">
      <c r="A123" s="5" t="str">
        <f>CoursesBasis!F13&amp;CoursesBasis!R$2</f>
        <v>LE2LT</v>
      </c>
      <c r="B123" s="83">
        <f>CoursesBasis!R13</f>
        <v>5.9572916666666663E-2</v>
      </c>
      <c r="C123" s="77"/>
      <c r="D123" s="83"/>
      <c r="E123" s="83"/>
      <c r="F123" s="83"/>
    </row>
    <row r="124" spans="1:6" x14ac:dyDescent="0.2">
      <c r="A124" s="5" t="str">
        <f>CoursesBasis!F14&amp;CoursesBasis!R$2</f>
        <v>LE3LT</v>
      </c>
      <c r="B124" s="83">
        <f>CoursesBasis!R14</f>
        <v>6.0848958333333335E-2</v>
      </c>
      <c r="C124" s="77"/>
      <c r="D124" s="83"/>
      <c r="E124" s="83"/>
      <c r="F124" s="83"/>
    </row>
    <row r="125" spans="1:6" x14ac:dyDescent="0.2">
      <c r="A125" s="5" t="str">
        <f>CoursesBasis!F15&amp;CoursesBasis!R$2</f>
        <v>LE4LT</v>
      </c>
      <c r="B125" s="83">
        <f>CoursesBasis!R15</f>
        <v>6.6281249999999986E-2</v>
      </c>
      <c r="C125" s="77"/>
      <c r="D125" s="83"/>
      <c r="E125" s="83"/>
      <c r="F125" s="83"/>
    </row>
    <row r="126" spans="1:6" x14ac:dyDescent="0.2">
      <c r="A126" s="5" t="str">
        <f>CoursesBasis!F16&amp;CoursesBasis!R$2</f>
        <v>LD1LT</v>
      </c>
      <c r="B126" s="83">
        <f>CoursesBasis!R16</f>
        <v>8.7664062499999987E-2</v>
      </c>
      <c r="C126" s="77"/>
      <c r="D126" s="83"/>
      <c r="E126" s="83"/>
      <c r="F126" s="83"/>
    </row>
    <row r="127" spans="1:6" x14ac:dyDescent="0.2">
      <c r="A127" s="5" t="str">
        <f>CoursesBasis!F17&amp;CoursesBasis!R$2</f>
        <v>LD2LT</v>
      </c>
      <c r="B127" s="83">
        <f>CoursesBasis!R17</f>
        <v>8.2802343750000007E-2</v>
      </c>
      <c r="C127" s="77"/>
      <c r="D127" s="83"/>
      <c r="E127" s="83"/>
      <c r="F127" s="83"/>
    </row>
    <row r="128" spans="1:6" x14ac:dyDescent="0.2">
      <c r="A128" s="5" t="str">
        <f>CoursesBasis!F18&amp;CoursesBasis!R$2</f>
        <v>LD3LT</v>
      </c>
      <c r="B128" s="83">
        <f>CoursesBasis!R18</f>
        <v>8.4946093750000007E-2</v>
      </c>
      <c r="C128" s="77"/>
      <c r="D128" s="83"/>
      <c r="E128" s="83"/>
      <c r="F128" s="83"/>
    </row>
    <row r="129" spans="1:6" x14ac:dyDescent="0.2">
      <c r="A129" s="5" t="str">
        <f>CoursesBasis!F19&amp;CoursesBasis!R$2</f>
        <v>ST1LT</v>
      </c>
      <c r="B129" s="83">
        <f>CoursesBasis!R19</f>
        <v>3.2024999999999998E-2</v>
      </c>
      <c r="C129" s="77"/>
      <c r="D129" s="83"/>
      <c r="E129" s="83"/>
      <c r="F129" s="83"/>
    </row>
    <row r="130" spans="1:6" x14ac:dyDescent="0.2">
      <c r="A130" s="5" t="str">
        <f>CoursesBasis!F20&amp;CoursesBasis!R$2</f>
        <v>LT1LT</v>
      </c>
      <c r="B130" s="83">
        <f>CoursesBasis!R20</f>
        <v>5.7276041666666666E-2</v>
      </c>
      <c r="C130" s="77"/>
      <c r="D130" s="83"/>
      <c r="E130" s="83"/>
      <c r="F130" s="83"/>
    </row>
    <row r="131" spans="1:6" x14ac:dyDescent="0.2">
      <c r="A131" s="5" t="str">
        <f>CoursesBasis!F21&amp;CoursesBasis!R$2</f>
        <v>SELT</v>
      </c>
      <c r="B131" s="83">
        <f>CoursesBasis!R21</f>
        <v>2.5971093749999997E-2</v>
      </c>
      <c r="C131" s="77"/>
      <c r="D131" s="83"/>
      <c r="E131" s="83"/>
      <c r="F131" s="83"/>
    </row>
    <row r="132" spans="1:6" x14ac:dyDescent="0.2">
      <c r="A132" s="5" t="str">
        <f>CoursesBasis!F22&amp;CoursesBasis!R$2</f>
        <v>SDLT</v>
      </c>
      <c r="B132" s="83">
        <f>CoursesBasis!R22</f>
        <v>4.4989583333333326E-2</v>
      </c>
      <c r="C132" s="77"/>
      <c r="D132" s="83"/>
      <c r="E132" s="83"/>
      <c r="F132" s="83"/>
    </row>
    <row r="133" spans="1:6" x14ac:dyDescent="0.2">
      <c r="A133" s="5" t="str">
        <f>CoursesBasis!F23&amp;CoursesBasis!R$2</f>
        <v>LELT</v>
      </c>
      <c r="B133" s="83">
        <f>CoursesBasis!R23</f>
        <v>6.1769531250000002E-2</v>
      </c>
      <c r="C133" s="77"/>
      <c r="D133" s="83"/>
      <c r="E133" s="83"/>
      <c r="F133" s="83"/>
    </row>
    <row r="134" spans="1:6" x14ac:dyDescent="0.2">
      <c r="A134" s="5" t="str">
        <f>CoursesBasis!F24&amp;CoursesBasis!R$2</f>
        <v>LDLT</v>
      </c>
      <c r="B134" s="83">
        <f>CoursesBasis!R24</f>
        <v>8.5137499999999991E-2</v>
      </c>
      <c r="C134" s="77"/>
      <c r="D134" s="83"/>
      <c r="E134" s="83"/>
      <c r="F134" s="83"/>
    </row>
  </sheetData>
  <mergeCells count="1">
    <mergeCell ref="C1:F1"/>
  </mergeCells>
  <phoneticPr fontId="1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22</vt:i4>
      </vt:variant>
    </vt:vector>
  </HeadingPairs>
  <TitlesOfParts>
    <vt:vector size="26" baseType="lpstr">
      <vt:lpstr>Parameters</vt:lpstr>
      <vt:lpstr>Plan12h2015</vt:lpstr>
      <vt:lpstr>CoursesBasis</vt:lpstr>
      <vt:lpstr>TimeBasis</vt:lpstr>
      <vt:lpstr>BahnLaufzeiten</vt:lpstr>
      <vt:lpstr>Basis</vt:lpstr>
      <vt:lpstr>Climbfaktor</vt:lpstr>
      <vt:lpstr>Courses</vt:lpstr>
      <vt:lpstr>Dämmerung</vt:lpstr>
      <vt:lpstr>Dämmerungszeit</vt:lpstr>
      <vt:lpstr>Parameters!Druckbereich</vt:lpstr>
      <vt:lpstr>Plan12h2015!Druckbereich</vt:lpstr>
      <vt:lpstr>Plan12h2015!Drucktitel</vt:lpstr>
      <vt:lpstr>Endzeit</vt:lpstr>
      <vt:lpstr>Erm</vt:lpstr>
      <vt:lpstr>ErmP</vt:lpstr>
      <vt:lpstr>IstLaufzeiten</vt:lpstr>
      <vt:lpstr>Schwierigkeit</vt:lpstr>
      <vt:lpstr>SchwierigkeitP</vt:lpstr>
      <vt:lpstr>Staffeldauer</vt:lpstr>
      <vt:lpstr>Startzeit</vt:lpstr>
      <vt:lpstr>Teilnehmer</vt:lpstr>
      <vt:lpstr>TimeBasis</vt:lpstr>
      <vt:lpstr>Twilight</vt:lpstr>
      <vt:lpstr>Zeit</vt:lpstr>
      <vt:lpstr>Zielzeit</vt:lpstr>
    </vt:vector>
  </TitlesOfParts>
  <Company>100world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ultimative 24-h-OL Tabelle</dc:title>
  <dc:creator>Valerio Casanova;Veikko Baath</dc:creator>
  <cp:lastModifiedBy>Baath, Veikko</cp:lastModifiedBy>
  <cp:lastPrinted>2015-05-13T12:31:39Z</cp:lastPrinted>
  <dcterms:created xsi:type="dcterms:W3CDTF">2009-05-11T13:51:18Z</dcterms:created>
  <dcterms:modified xsi:type="dcterms:W3CDTF">2015-05-13T12:38:20Z</dcterms:modified>
</cp:coreProperties>
</file>