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30" yWindow="615" windowWidth="20175" windowHeight="7770" activeTab="1"/>
  </bookViews>
  <sheets>
    <sheet name="Parameters" sheetId="15" r:id="rId1"/>
    <sheet name="Plan24h2015" sheetId="12" r:id="rId2"/>
    <sheet name="CoursesBasis" sheetId="6" r:id="rId3"/>
    <sheet name="TimeBasis" sheetId="14" r:id="rId4"/>
  </sheets>
  <definedNames>
    <definedName name="_xlnm._FilterDatabase" localSheetId="1" hidden="1">Plan24h2015!$A$2:$AE$41</definedName>
    <definedName name="BahnLaufzeiten">Plan24h2015!$H$2:$U$40</definedName>
    <definedName name="Basis">Parameters!$E$3:$F$9</definedName>
    <definedName name="Climbfaktor">Parameters!$C$29</definedName>
    <definedName name="CourseData">CoursesBasis!$F$2:$K$40</definedName>
    <definedName name="Courses">CoursesBasis!$B$2:$R$39</definedName>
    <definedName name="Dämmerung">Parameters!$C$35</definedName>
    <definedName name="Dämmerungszeit">Parameters!$C$35</definedName>
    <definedName name="_xlnm.Print_Area" localSheetId="0">Parameters!$B:$I</definedName>
    <definedName name="_xlnm.Print_Area" localSheetId="1">Plan24h2015!$A$1:$AB$40</definedName>
    <definedName name="_xlnm.Print_Titles" localSheetId="1">Plan24h2015!$A:$D,Plan24h2015!$1:$2</definedName>
    <definedName name="Endzeit">Plan24h2015!$AJ$40</definedName>
    <definedName name="Erm">Parameters!$B$55:$C$62</definedName>
    <definedName name="ErmP">Parameters!$B$55:$I$62</definedName>
    <definedName name="IstLaufzeiten">Plan24h2015!$U$2:$U$40</definedName>
    <definedName name="Schwierigkeit">Parameters!$B$13:$C$25</definedName>
    <definedName name="SchwierigkeitP">Parameters!$B$13:$I$25</definedName>
    <definedName name="Staffeldauer">Parameters!$C$36</definedName>
    <definedName name="Startzeit">Parameters!$C$33</definedName>
    <definedName name="Teilnehmer">Parameters!$B$3:$E$9</definedName>
    <definedName name="TimeBasis">TimeBasis!$A$2:$B$82</definedName>
    <definedName name="tooLate">Parameters!$C$66</definedName>
    <definedName name="Twilight">Plan24h2015!$AJ$39</definedName>
    <definedName name="Zeit">Parameters!$C$41:$D$47</definedName>
    <definedName name="Zielzeit">Parameters!$C$37</definedName>
  </definedNames>
  <calcPr calcId="145621"/>
</workbook>
</file>

<file path=xl/calcChain.xml><?xml version="1.0" encoding="utf-8"?>
<calcChain xmlns="http://schemas.openxmlformats.org/spreadsheetml/2006/main">
  <c r="A4" i="12" l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3" i="12"/>
  <c r="AB4" i="12" l="1"/>
  <c r="AB5" i="12"/>
  <c r="AB6" i="12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3" i="12"/>
  <c r="AA4" i="12"/>
  <c r="AA5" i="12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3" i="12"/>
  <c r="Z4" i="12"/>
  <c r="Z5" i="12"/>
  <c r="Z6" i="12"/>
  <c r="Z7" i="12"/>
  <c r="Z8" i="12"/>
  <c r="Z9" i="12"/>
  <c r="Z10" i="12"/>
  <c r="Z11" i="12"/>
  <c r="Z12" i="12"/>
  <c r="Z13" i="12"/>
  <c r="Z14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3" i="12"/>
  <c r="W4" i="12"/>
  <c r="W5" i="12" s="1"/>
  <c r="W6" i="12" s="1"/>
  <c r="W7" i="12" s="1"/>
  <c r="W8" i="12" s="1"/>
  <c r="W9" i="12" s="1"/>
  <c r="W10" i="12" s="1"/>
  <c r="W11" i="12" s="1"/>
  <c r="W12" i="12" s="1"/>
  <c r="W13" i="12" s="1"/>
  <c r="W14" i="12" s="1"/>
  <c r="W15" i="12" s="1"/>
  <c r="W16" i="12" s="1"/>
  <c r="W17" i="12" s="1"/>
  <c r="W18" i="12" s="1"/>
  <c r="W19" i="12" s="1"/>
  <c r="W20" i="12" s="1"/>
  <c r="W21" i="12" s="1"/>
  <c r="W22" i="12" s="1"/>
  <c r="W23" i="12" s="1"/>
  <c r="W24" i="12" s="1"/>
  <c r="W25" i="12" s="1"/>
  <c r="W26" i="12" s="1"/>
  <c r="W27" i="12" s="1"/>
  <c r="W28" i="12" s="1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3" i="12"/>
  <c r="C42" i="15"/>
  <c r="C43" i="15"/>
  <c r="C44" i="15"/>
  <c r="Y31" i="12"/>
  <c r="Y32" i="12"/>
  <c r="Y33" i="12"/>
  <c r="Y34" i="12"/>
  <c r="Y35" i="12"/>
  <c r="Y36" i="12"/>
  <c r="Y37" i="12"/>
  <c r="Y38" i="12"/>
  <c r="Y39" i="12"/>
  <c r="Y40" i="12"/>
  <c r="X31" i="12"/>
  <c r="X32" i="12"/>
  <c r="X33" i="12"/>
  <c r="X34" i="12"/>
  <c r="X35" i="12"/>
  <c r="X36" i="12"/>
  <c r="X37" i="12"/>
  <c r="X38" i="12"/>
  <c r="X39" i="12"/>
  <c r="X40" i="12"/>
  <c r="G40" i="12" l="1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3" i="12"/>
  <c r="K48" i="6"/>
  <c r="K38" i="6"/>
  <c r="I38" i="12" s="1"/>
  <c r="K37" i="6"/>
  <c r="I37" i="12" s="1"/>
  <c r="K36" i="6"/>
  <c r="I36" i="12" s="1"/>
  <c r="K35" i="6"/>
  <c r="I35" i="12" s="1"/>
  <c r="K40" i="6"/>
  <c r="I40" i="12" s="1"/>
  <c r="K34" i="6"/>
  <c r="I31" i="12" s="1"/>
  <c r="K33" i="6"/>
  <c r="K31" i="6"/>
  <c r="I21" i="12" s="1"/>
  <c r="K30" i="6"/>
  <c r="I22" i="12" s="1"/>
  <c r="T27" i="6"/>
  <c r="K27" i="6"/>
  <c r="I28" i="12" s="1"/>
  <c r="T26" i="6"/>
  <c r="K26" i="6"/>
  <c r="I27" i="12" s="1"/>
  <c r="AF25" i="6"/>
  <c r="X25" i="6"/>
  <c r="K25" i="6"/>
  <c r="I26" i="12" s="1"/>
  <c r="AF24" i="6"/>
  <c r="X24" i="6"/>
  <c r="K24" i="6"/>
  <c r="I25" i="12" s="1"/>
  <c r="AF23" i="6"/>
  <c r="X23" i="6"/>
  <c r="K23" i="6"/>
  <c r="I24" i="12" s="1"/>
  <c r="AF22" i="6"/>
  <c r="X22" i="6"/>
  <c r="K22" i="6"/>
  <c r="I23" i="12" s="1"/>
  <c r="K17" i="6"/>
  <c r="I9" i="12" s="1"/>
  <c r="K18" i="6"/>
  <c r="I34" i="12" s="1"/>
  <c r="AE15" i="6"/>
  <c r="U15" i="6"/>
  <c r="K15" i="6"/>
  <c r="AE14" i="6"/>
  <c r="U14" i="6"/>
  <c r="K14" i="6"/>
  <c r="I7" i="12" s="1"/>
  <c r="AE13" i="6"/>
  <c r="U13" i="6"/>
  <c r="K13" i="6"/>
  <c r="I10" i="12" s="1"/>
  <c r="K11" i="6"/>
  <c r="I11" i="12" s="1"/>
  <c r="K10" i="6"/>
  <c r="I15" i="12" s="1"/>
  <c r="K9" i="6"/>
  <c r="I13" i="12" s="1"/>
  <c r="K5" i="6"/>
  <c r="I12" i="12" s="1"/>
  <c r="K6" i="6"/>
  <c r="I14" i="12" s="1"/>
  <c r="K7" i="6"/>
  <c r="I16" i="12" s="1"/>
  <c r="K8" i="6"/>
  <c r="I6" i="12" s="1"/>
  <c r="K12" i="6"/>
  <c r="I4" i="12" s="1"/>
  <c r="K16" i="6"/>
  <c r="I33" i="12" s="1"/>
  <c r="K19" i="6"/>
  <c r="I18" i="12" s="1"/>
  <c r="K20" i="6"/>
  <c r="I17" i="12" s="1"/>
  <c r="K21" i="6"/>
  <c r="K28" i="6"/>
  <c r="I29" i="12" s="1"/>
  <c r="K29" i="6"/>
  <c r="I19" i="12" s="1"/>
  <c r="K32" i="6"/>
  <c r="I32" i="12" s="1"/>
  <c r="K39" i="6"/>
  <c r="I39" i="12" s="1"/>
  <c r="K4" i="6"/>
  <c r="K3" i="6"/>
  <c r="I3" i="12" s="1"/>
  <c r="I30" i="12" l="1"/>
  <c r="K41" i="6"/>
  <c r="I20" i="12"/>
  <c r="K45" i="6"/>
  <c r="K47" i="6"/>
  <c r="I5" i="12"/>
  <c r="K46" i="6"/>
  <c r="K42" i="6"/>
  <c r="K43" i="6"/>
  <c r="K44" i="6"/>
  <c r="I8" i="12"/>
  <c r="T28" i="6"/>
  <c r="X21" i="6"/>
  <c r="U12" i="6"/>
  <c r="U41" i="12" l="1"/>
  <c r="D56" i="15" l="1"/>
  <c r="E56" i="15"/>
  <c r="F56" i="15"/>
  <c r="G56" i="15"/>
  <c r="H56" i="15"/>
  <c r="I56" i="15"/>
  <c r="D57" i="15"/>
  <c r="E57" i="15"/>
  <c r="F57" i="15"/>
  <c r="G57" i="15"/>
  <c r="H57" i="15"/>
  <c r="I57" i="15"/>
  <c r="D58" i="15"/>
  <c r="E58" i="15"/>
  <c r="F58" i="15"/>
  <c r="G58" i="15"/>
  <c r="H58" i="15"/>
  <c r="I58" i="15"/>
  <c r="D59" i="15"/>
  <c r="E59" i="15"/>
  <c r="F59" i="15"/>
  <c r="G59" i="15"/>
  <c r="H59" i="15"/>
  <c r="I59" i="15"/>
  <c r="D60" i="15"/>
  <c r="E60" i="15"/>
  <c r="F60" i="15"/>
  <c r="G60" i="15"/>
  <c r="H60" i="15"/>
  <c r="I60" i="15"/>
  <c r="D61" i="15"/>
  <c r="E61" i="15"/>
  <c r="F61" i="15"/>
  <c r="G61" i="15"/>
  <c r="H61" i="15"/>
  <c r="I61" i="15"/>
  <c r="D62" i="15"/>
  <c r="E62" i="15"/>
  <c r="F62" i="15"/>
  <c r="G62" i="15"/>
  <c r="H62" i="15"/>
  <c r="I62" i="15"/>
  <c r="C57" i="15"/>
  <c r="C58" i="15"/>
  <c r="C59" i="15"/>
  <c r="C60" i="15"/>
  <c r="C61" i="15"/>
  <c r="C62" i="15"/>
  <c r="C56" i="15"/>
  <c r="AJ38" i="12" l="1"/>
  <c r="E43" i="15" l="1"/>
  <c r="T3" i="12"/>
  <c r="D4" i="12"/>
  <c r="H4" i="12" s="1"/>
  <c r="D5" i="12"/>
  <c r="H5" i="12" s="1"/>
  <c r="D6" i="12"/>
  <c r="H6" i="12" s="1"/>
  <c r="D7" i="12"/>
  <c r="H7" i="12" s="1"/>
  <c r="D8" i="12"/>
  <c r="H8" i="12" s="1"/>
  <c r="D9" i="12"/>
  <c r="H9" i="12" s="1"/>
  <c r="D10" i="12"/>
  <c r="H10" i="12" s="1"/>
  <c r="D11" i="12"/>
  <c r="H11" i="12" s="1"/>
  <c r="D12" i="12"/>
  <c r="H12" i="12" s="1"/>
  <c r="D13" i="12"/>
  <c r="H13" i="12" s="1"/>
  <c r="D14" i="12"/>
  <c r="H14" i="12" s="1"/>
  <c r="D15" i="12"/>
  <c r="H15" i="12" s="1"/>
  <c r="D16" i="12"/>
  <c r="H16" i="12" s="1"/>
  <c r="D17" i="12"/>
  <c r="H17" i="12" s="1"/>
  <c r="D18" i="12"/>
  <c r="H18" i="12" s="1"/>
  <c r="D19" i="12"/>
  <c r="H19" i="12" s="1"/>
  <c r="D20" i="12"/>
  <c r="H20" i="12" s="1"/>
  <c r="D21" i="12"/>
  <c r="H21" i="12" s="1"/>
  <c r="D22" i="12"/>
  <c r="H22" i="12" s="1"/>
  <c r="D23" i="12"/>
  <c r="H23" i="12" s="1"/>
  <c r="D24" i="12"/>
  <c r="H24" i="12" s="1"/>
  <c r="D25" i="12"/>
  <c r="H25" i="12" s="1"/>
  <c r="D26" i="12"/>
  <c r="H26" i="12" s="1"/>
  <c r="D27" i="12"/>
  <c r="H27" i="12" s="1"/>
  <c r="D28" i="12"/>
  <c r="H28" i="12" s="1"/>
  <c r="D29" i="12"/>
  <c r="H29" i="12" s="1"/>
  <c r="D30" i="12"/>
  <c r="H30" i="12" s="1"/>
  <c r="D31" i="12"/>
  <c r="H31" i="12" s="1"/>
  <c r="D32" i="12"/>
  <c r="H32" i="12" s="1"/>
  <c r="D33" i="12"/>
  <c r="H33" i="12" s="1"/>
  <c r="D34" i="12"/>
  <c r="H34" i="12" s="1"/>
  <c r="D35" i="12"/>
  <c r="H35" i="12" s="1"/>
  <c r="D36" i="12"/>
  <c r="H36" i="12" s="1"/>
  <c r="D37" i="12"/>
  <c r="H37" i="12" s="1"/>
  <c r="D38" i="12"/>
  <c r="H38" i="12" s="1"/>
  <c r="D39" i="12"/>
  <c r="H39" i="12" s="1"/>
  <c r="D40" i="12"/>
  <c r="H40" i="12" s="1"/>
  <c r="D3" i="12"/>
  <c r="H3" i="12" s="1"/>
  <c r="C4" i="12"/>
  <c r="AG19" i="12" s="1"/>
  <c r="C5" i="12"/>
  <c r="AG20" i="12" s="1"/>
  <c r="C6" i="12"/>
  <c r="AG21" i="12" s="1"/>
  <c r="C7" i="12"/>
  <c r="AG22" i="12" s="1"/>
  <c r="C8" i="12"/>
  <c r="AG23" i="12" s="1"/>
  <c r="C3" i="12"/>
  <c r="AG18" i="12" s="1"/>
  <c r="C9" i="15"/>
  <c r="C8" i="15"/>
  <c r="C7" i="15"/>
  <c r="C6" i="15"/>
  <c r="C5" i="15"/>
  <c r="C4" i="15"/>
  <c r="I55" i="15"/>
  <c r="H55" i="15"/>
  <c r="G55" i="15"/>
  <c r="F55" i="15"/>
  <c r="E55" i="15"/>
  <c r="D55" i="15"/>
  <c r="I51" i="15"/>
  <c r="H51" i="15"/>
  <c r="G51" i="15"/>
  <c r="F51" i="15"/>
  <c r="E51" i="15"/>
  <c r="D51" i="15"/>
  <c r="I13" i="15"/>
  <c r="H13" i="15"/>
  <c r="F13" i="15"/>
  <c r="E13" i="15"/>
  <c r="D13" i="15"/>
  <c r="M2" i="6" s="1"/>
  <c r="M3" i="6" s="1"/>
  <c r="G13" i="15"/>
  <c r="C42" i="14" l="1"/>
  <c r="C19" i="14"/>
  <c r="C35" i="14"/>
  <c r="C21" i="14"/>
  <c r="C30" i="14"/>
  <c r="C32" i="14"/>
  <c r="C23" i="14"/>
  <c r="C36" i="14"/>
  <c r="C5" i="14"/>
  <c r="C9" i="14"/>
  <c r="C47" i="14"/>
  <c r="C38" i="14"/>
  <c r="C12" i="14"/>
  <c r="C25" i="14"/>
  <c r="A43" i="14"/>
  <c r="C43" i="14" s="1"/>
  <c r="A48" i="14"/>
  <c r="C48" i="14" s="1"/>
  <c r="A46" i="14"/>
  <c r="C46" i="14" s="1"/>
  <c r="A44" i="14"/>
  <c r="C44" i="14" s="1"/>
  <c r="A42" i="14"/>
  <c r="A47" i="14"/>
  <c r="A45" i="14"/>
  <c r="C45" i="14" s="1"/>
  <c r="A41" i="14"/>
  <c r="C41" i="14" s="1"/>
  <c r="M48" i="6"/>
  <c r="B48" i="14" s="1"/>
  <c r="M47" i="6"/>
  <c r="B47" i="14" s="1"/>
  <c r="M46" i="6"/>
  <c r="B46" i="14" s="1"/>
  <c r="M45" i="6"/>
  <c r="B45" i="14" s="1"/>
  <c r="M44" i="6"/>
  <c r="B44" i="14" s="1"/>
  <c r="M43" i="6"/>
  <c r="B43" i="14" s="1"/>
  <c r="A4" i="14"/>
  <c r="C4" i="14" s="1"/>
  <c r="A9" i="14"/>
  <c r="A12" i="14"/>
  <c r="A17" i="14"/>
  <c r="A20" i="14"/>
  <c r="C20" i="14" s="1"/>
  <c r="A25" i="14"/>
  <c r="A28" i="14"/>
  <c r="C28" i="14" s="1"/>
  <c r="A33" i="14"/>
  <c r="C33" i="14" s="1"/>
  <c r="A36" i="14"/>
  <c r="M42" i="6"/>
  <c r="B42" i="14" s="1"/>
  <c r="A5" i="14"/>
  <c r="A8" i="14"/>
  <c r="C8" i="14" s="1"/>
  <c r="A13" i="14"/>
  <c r="C13" i="14" s="1"/>
  <c r="A16" i="14"/>
  <c r="A21" i="14"/>
  <c r="A24" i="14"/>
  <c r="C24" i="14" s="1"/>
  <c r="A32" i="14"/>
  <c r="A37" i="14"/>
  <c r="C37" i="14" s="1"/>
  <c r="A40" i="14"/>
  <c r="C40" i="14" s="1"/>
  <c r="A7" i="14"/>
  <c r="A10" i="14"/>
  <c r="A15" i="14"/>
  <c r="C15" i="14" s="1"/>
  <c r="A18" i="14"/>
  <c r="C18" i="14" s="1"/>
  <c r="A23" i="14"/>
  <c r="A26" i="14"/>
  <c r="A31" i="14"/>
  <c r="A34" i="14"/>
  <c r="C34" i="14" s="1"/>
  <c r="A39" i="14"/>
  <c r="A6" i="14"/>
  <c r="A11" i="14"/>
  <c r="C11" i="14" s="1"/>
  <c r="A14" i="14"/>
  <c r="C14" i="14" s="1"/>
  <c r="A19" i="14"/>
  <c r="A22" i="14"/>
  <c r="C22" i="14" s="1"/>
  <c r="A27" i="14"/>
  <c r="C27" i="14" s="1"/>
  <c r="A30" i="14"/>
  <c r="A35" i="14"/>
  <c r="A38" i="14"/>
  <c r="A29" i="14"/>
  <c r="C29" i="14" s="1"/>
  <c r="M41" i="6"/>
  <c r="B41" i="14" s="1"/>
  <c r="M37" i="6"/>
  <c r="B37" i="14" s="1"/>
  <c r="M38" i="6"/>
  <c r="B38" i="14" s="1"/>
  <c r="M35" i="6"/>
  <c r="B35" i="14" s="1"/>
  <c r="M36" i="6"/>
  <c r="B36" i="14" s="1"/>
  <c r="M34" i="6"/>
  <c r="B34" i="14" s="1"/>
  <c r="M40" i="6"/>
  <c r="B40" i="14" s="1"/>
  <c r="M31" i="6"/>
  <c r="B31" i="14" s="1"/>
  <c r="M33" i="6"/>
  <c r="B33" i="14" s="1"/>
  <c r="M27" i="6"/>
  <c r="B27" i="14" s="1"/>
  <c r="M30" i="6"/>
  <c r="B30" i="14" s="1"/>
  <c r="M25" i="6"/>
  <c r="B25" i="14" s="1"/>
  <c r="M26" i="6"/>
  <c r="B26" i="14" s="1"/>
  <c r="M23" i="6"/>
  <c r="B23" i="14" s="1"/>
  <c r="M24" i="6"/>
  <c r="B24" i="14" s="1"/>
  <c r="M22" i="6"/>
  <c r="B22" i="14" s="1"/>
  <c r="M18" i="6"/>
  <c r="B18" i="14" s="1"/>
  <c r="M17" i="6"/>
  <c r="B17" i="14" s="1"/>
  <c r="M13" i="6"/>
  <c r="B13" i="14" s="1"/>
  <c r="M14" i="6"/>
  <c r="B14" i="14" s="1"/>
  <c r="M15" i="6"/>
  <c r="B15" i="14" s="1"/>
  <c r="M10" i="6"/>
  <c r="B10" i="14" s="1"/>
  <c r="M11" i="6"/>
  <c r="B11" i="14" s="1"/>
  <c r="A3" i="14"/>
  <c r="C3" i="14" s="1"/>
  <c r="M9" i="6"/>
  <c r="B9" i="14" s="1"/>
  <c r="M6" i="6"/>
  <c r="B6" i="14" s="1"/>
  <c r="M5" i="6"/>
  <c r="B5" i="14" s="1"/>
  <c r="M7" i="6"/>
  <c r="B7" i="14" s="1"/>
  <c r="R2" i="6"/>
  <c r="R3" i="6" s="1"/>
  <c r="Q2" i="6"/>
  <c r="Q3" i="6" s="1"/>
  <c r="P2" i="6"/>
  <c r="P3" i="6" s="1"/>
  <c r="O2" i="6"/>
  <c r="O3" i="6" s="1"/>
  <c r="N2" i="6"/>
  <c r="N3" i="6" s="1"/>
  <c r="K3" i="12"/>
  <c r="K4" i="12"/>
  <c r="K5" i="12"/>
  <c r="K6" i="12"/>
  <c r="K7" i="12"/>
  <c r="K8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3" i="12"/>
  <c r="A139" i="14" l="1"/>
  <c r="C139" i="14" s="1"/>
  <c r="A135" i="14"/>
  <c r="C135" i="14" s="1"/>
  <c r="A140" i="14"/>
  <c r="C140" i="14" s="1"/>
  <c r="A138" i="14"/>
  <c r="C138" i="14" s="1"/>
  <c r="A136" i="14"/>
  <c r="C136" i="14" s="1"/>
  <c r="A134" i="14"/>
  <c r="C134" i="14" s="1"/>
  <c r="A137" i="14"/>
  <c r="C137" i="14" s="1"/>
  <c r="A133" i="14"/>
  <c r="C133" i="14" s="1"/>
  <c r="A231" i="14"/>
  <c r="C231" i="14" s="1"/>
  <c r="A229" i="14"/>
  <c r="C229" i="14" s="1"/>
  <c r="A227" i="14"/>
  <c r="C227" i="14" s="1"/>
  <c r="A225" i="14"/>
  <c r="C225" i="14" s="1"/>
  <c r="A232" i="14"/>
  <c r="C232" i="14" s="1"/>
  <c r="A230" i="14"/>
  <c r="C230" i="14" s="1"/>
  <c r="A228" i="14"/>
  <c r="C228" i="14" s="1"/>
  <c r="A226" i="14"/>
  <c r="C226" i="14" s="1"/>
  <c r="A93" i="14"/>
  <c r="C93" i="14" s="1"/>
  <c r="A91" i="14"/>
  <c r="C91" i="14" s="1"/>
  <c r="A87" i="14"/>
  <c r="C87" i="14" s="1"/>
  <c r="A94" i="14"/>
  <c r="C94" i="14" s="1"/>
  <c r="A92" i="14"/>
  <c r="C92" i="14" s="1"/>
  <c r="A90" i="14"/>
  <c r="C90" i="14" s="1"/>
  <c r="A88" i="14"/>
  <c r="C88" i="14" s="1"/>
  <c r="A89" i="14"/>
  <c r="C89" i="14" s="1"/>
  <c r="A185" i="14"/>
  <c r="C185" i="14" s="1"/>
  <c r="A181" i="14"/>
  <c r="C181" i="14" s="1"/>
  <c r="A179" i="14"/>
  <c r="C179" i="14" s="1"/>
  <c r="A186" i="14"/>
  <c r="C186" i="14" s="1"/>
  <c r="A184" i="14"/>
  <c r="C184" i="14" s="1"/>
  <c r="A182" i="14"/>
  <c r="C182" i="14" s="1"/>
  <c r="A180" i="14"/>
  <c r="C180" i="14" s="1"/>
  <c r="A183" i="14"/>
  <c r="C183" i="14" s="1"/>
  <c r="A272" i="14"/>
  <c r="C272" i="14" s="1"/>
  <c r="A274" i="14"/>
  <c r="C274" i="14" s="1"/>
  <c r="A276" i="14"/>
  <c r="C276" i="14" s="1"/>
  <c r="A278" i="14"/>
  <c r="C278" i="14" s="1"/>
  <c r="A275" i="14"/>
  <c r="C275" i="14" s="1"/>
  <c r="A271" i="14"/>
  <c r="C271" i="14" s="1"/>
  <c r="A277" i="14"/>
  <c r="C277" i="14" s="1"/>
  <c r="A273" i="14"/>
  <c r="C273" i="14" s="1"/>
  <c r="O48" i="6"/>
  <c r="B140" i="14" s="1"/>
  <c r="O47" i="6"/>
  <c r="B139" i="14" s="1"/>
  <c r="O46" i="6"/>
  <c r="B138" i="14" s="1"/>
  <c r="O45" i="6"/>
  <c r="B137" i="14" s="1"/>
  <c r="Q48" i="6"/>
  <c r="B232" i="14" s="1"/>
  <c r="Q47" i="6"/>
  <c r="B231" i="14" s="1"/>
  <c r="Q46" i="6"/>
  <c r="B230" i="14" s="1"/>
  <c r="Q45" i="6"/>
  <c r="B229" i="14" s="1"/>
  <c r="N48" i="6"/>
  <c r="B94" i="14" s="1"/>
  <c r="N47" i="6"/>
  <c r="B93" i="14" s="1"/>
  <c r="N46" i="6"/>
  <c r="B92" i="14" s="1"/>
  <c r="N45" i="6"/>
  <c r="B91" i="14" s="1"/>
  <c r="P48" i="6"/>
  <c r="B186" i="14" s="1"/>
  <c r="P47" i="6"/>
  <c r="B185" i="14" s="1"/>
  <c r="P46" i="6"/>
  <c r="B184" i="14" s="1"/>
  <c r="P45" i="6"/>
  <c r="B183" i="14" s="1"/>
  <c r="R48" i="6"/>
  <c r="B278" i="14" s="1"/>
  <c r="R47" i="6"/>
  <c r="B277" i="14" s="1"/>
  <c r="R46" i="6"/>
  <c r="B276" i="14" s="1"/>
  <c r="R45" i="6"/>
  <c r="B275" i="14" s="1"/>
  <c r="O42" i="6"/>
  <c r="B134" i="14" s="1"/>
  <c r="O44" i="6"/>
  <c r="B136" i="14" s="1"/>
  <c r="O43" i="6"/>
  <c r="B135" i="14" s="1"/>
  <c r="Q42" i="6"/>
  <c r="B226" i="14" s="1"/>
  <c r="Q44" i="6"/>
  <c r="B228" i="14" s="1"/>
  <c r="Q43" i="6"/>
  <c r="B227" i="14" s="1"/>
  <c r="N42" i="6"/>
  <c r="B88" i="14" s="1"/>
  <c r="N44" i="6"/>
  <c r="B90" i="14" s="1"/>
  <c r="N43" i="6"/>
  <c r="B89" i="14" s="1"/>
  <c r="P42" i="6"/>
  <c r="B180" i="14" s="1"/>
  <c r="P44" i="6"/>
  <c r="B182" i="14" s="1"/>
  <c r="P43" i="6"/>
  <c r="B181" i="14" s="1"/>
  <c r="R42" i="6"/>
  <c r="B272" i="14" s="1"/>
  <c r="R44" i="6"/>
  <c r="B274" i="14" s="1"/>
  <c r="R43" i="6"/>
  <c r="B273" i="14" s="1"/>
  <c r="N41" i="6"/>
  <c r="B87" i="14" s="1"/>
  <c r="A85" i="14"/>
  <c r="C85" i="14" s="1"/>
  <c r="A52" i="14"/>
  <c r="C52" i="14" s="1"/>
  <c r="A56" i="14"/>
  <c r="A60" i="14"/>
  <c r="C60" i="14" s="1"/>
  <c r="A64" i="14"/>
  <c r="A68" i="14"/>
  <c r="C68" i="14" s="1"/>
  <c r="A72" i="14"/>
  <c r="C72" i="14" s="1"/>
  <c r="A76" i="14"/>
  <c r="A80" i="14"/>
  <c r="C80" i="14" s="1"/>
  <c r="A86" i="14"/>
  <c r="A53" i="14"/>
  <c r="A57" i="14"/>
  <c r="A61" i="14"/>
  <c r="A65" i="14"/>
  <c r="C65" i="14" s="1"/>
  <c r="A69" i="14"/>
  <c r="C69" i="14" s="1"/>
  <c r="A73" i="14"/>
  <c r="A77" i="14"/>
  <c r="C77" i="14" s="1"/>
  <c r="A81" i="14"/>
  <c r="C81" i="14" s="1"/>
  <c r="A51" i="14"/>
  <c r="C51" i="14" s="1"/>
  <c r="A59" i="14"/>
  <c r="A67" i="14"/>
  <c r="C67" i="14" s="1"/>
  <c r="A75" i="14"/>
  <c r="C75" i="14" s="1"/>
  <c r="A49" i="14"/>
  <c r="C49" i="14" s="1"/>
  <c r="A83" i="14"/>
  <c r="C83" i="14" s="1"/>
  <c r="A54" i="14"/>
  <c r="C54" i="14" s="1"/>
  <c r="A62" i="14"/>
  <c r="C62" i="14" s="1"/>
  <c r="A70" i="14"/>
  <c r="C70" i="14" s="1"/>
  <c r="A78" i="14"/>
  <c r="C78" i="14" s="1"/>
  <c r="A55" i="14"/>
  <c r="C55" i="14" s="1"/>
  <c r="A71" i="14"/>
  <c r="C71" i="14" s="1"/>
  <c r="A79" i="14"/>
  <c r="C79" i="14" s="1"/>
  <c r="A50" i="14"/>
  <c r="C50" i="14" s="1"/>
  <c r="A58" i="14"/>
  <c r="C58" i="14" s="1"/>
  <c r="A66" i="14"/>
  <c r="C66" i="14" s="1"/>
  <c r="A74" i="14"/>
  <c r="C74" i="14" s="1"/>
  <c r="A82" i="14"/>
  <c r="C82" i="14" s="1"/>
  <c r="A84" i="14"/>
  <c r="C84" i="14" s="1"/>
  <c r="A63" i="14"/>
  <c r="C63" i="14" s="1"/>
  <c r="P41" i="6"/>
  <c r="B179" i="14" s="1"/>
  <c r="A145" i="14"/>
  <c r="C145" i="14" s="1"/>
  <c r="A148" i="14"/>
  <c r="C148" i="14" s="1"/>
  <c r="A153" i="14"/>
  <c r="C153" i="14" s="1"/>
  <c r="A156" i="14"/>
  <c r="C156" i="14" s="1"/>
  <c r="A161" i="14"/>
  <c r="A164" i="14"/>
  <c r="C164" i="14" s="1"/>
  <c r="A169" i="14"/>
  <c r="C169" i="14" s="1"/>
  <c r="A172" i="14"/>
  <c r="C172" i="14" s="1"/>
  <c r="A177" i="14"/>
  <c r="C177" i="14" s="1"/>
  <c r="A143" i="14"/>
  <c r="A146" i="14"/>
  <c r="A151" i="14"/>
  <c r="C151" i="14" s="1"/>
  <c r="A154" i="14"/>
  <c r="C154" i="14" s="1"/>
  <c r="A159" i="14"/>
  <c r="A162" i="14"/>
  <c r="C162" i="14" s="1"/>
  <c r="A167" i="14"/>
  <c r="C167" i="14" s="1"/>
  <c r="A170" i="14"/>
  <c r="C170" i="14" s="1"/>
  <c r="A175" i="14"/>
  <c r="C175" i="14" s="1"/>
  <c r="A150" i="14"/>
  <c r="C150" i="14" s="1"/>
  <c r="A155" i="14"/>
  <c r="C155" i="14" s="1"/>
  <c r="A166" i="14"/>
  <c r="A171" i="14"/>
  <c r="C171" i="14" s="1"/>
  <c r="A178" i="14"/>
  <c r="C178" i="14" s="1"/>
  <c r="A152" i="14"/>
  <c r="C152" i="14" s="1"/>
  <c r="A157" i="14"/>
  <c r="A168" i="14"/>
  <c r="C168" i="14" s="1"/>
  <c r="A173" i="14"/>
  <c r="C173" i="14" s="1"/>
  <c r="A141" i="14"/>
  <c r="C141" i="14" s="1"/>
  <c r="A144" i="14"/>
  <c r="C144" i="14" s="1"/>
  <c r="A149" i="14"/>
  <c r="C149" i="14" s="1"/>
  <c r="A160" i="14"/>
  <c r="C160" i="14" s="1"/>
  <c r="A165" i="14"/>
  <c r="C165" i="14" s="1"/>
  <c r="A176" i="14"/>
  <c r="C176" i="14" s="1"/>
  <c r="A142" i="14"/>
  <c r="C142" i="14" s="1"/>
  <c r="A147" i="14"/>
  <c r="C147" i="14" s="1"/>
  <c r="A158" i="14"/>
  <c r="C158" i="14" s="1"/>
  <c r="A163" i="14"/>
  <c r="C163" i="14" s="1"/>
  <c r="A174" i="14"/>
  <c r="A235" i="14"/>
  <c r="C235" i="14" s="1"/>
  <c r="A239" i="14"/>
  <c r="C239" i="14" s="1"/>
  <c r="A243" i="14"/>
  <c r="C243" i="14" s="1"/>
  <c r="A247" i="14"/>
  <c r="C247" i="14" s="1"/>
  <c r="A251" i="14"/>
  <c r="A255" i="14"/>
  <c r="A259" i="14"/>
  <c r="C259" i="14" s="1"/>
  <c r="A263" i="14"/>
  <c r="C263" i="14" s="1"/>
  <c r="A267" i="14"/>
  <c r="C267" i="14" s="1"/>
  <c r="A233" i="14"/>
  <c r="C233" i="14" s="1"/>
  <c r="R41" i="6"/>
  <c r="B271" i="14" s="1"/>
  <c r="A236" i="14"/>
  <c r="A240" i="14"/>
  <c r="C240" i="14" s="1"/>
  <c r="A244" i="14"/>
  <c r="C244" i="14" s="1"/>
  <c r="A248" i="14"/>
  <c r="C248" i="14" s="1"/>
  <c r="A252" i="14"/>
  <c r="C252" i="14" s="1"/>
  <c r="A256" i="14"/>
  <c r="C256" i="14" s="1"/>
  <c r="A260" i="14"/>
  <c r="C260" i="14" s="1"/>
  <c r="A264" i="14"/>
  <c r="C264" i="14" s="1"/>
  <c r="A268" i="14"/>
  <c r="A234" i="14"/>
  <c r="A238" i="14"/>
  <c r="C238" i="14" s="1"/>
  <c r="A242" i="14"/>
  <c r="C242" i="14" s="1"/>
  <c r="A246" i="14"/>
  <c r="C246" i="14" s="1"/>
  <c r="A250" i="14"/>
  <c r="C250" i="14" s="1"/>
  <c r="A254" i="14"/>
  <c r="C254" i="14" s="1"/>
  <c r="A258" i="14"/>
  <c r="C258" i="14" s="1"/>
  <c r="A262" i="14"/>
  <c r="A266" i="14"/>
  <c r="C266" i="14" s="1"/>
  <c r="A270" i="14"/>
  <c r="C270" i="14" s="1"/>
  <c r="A249" i="14"/>
  <c r="C249" i="14" s="1"/>
  <c r="A265" i="14"/>
  <c r="C265" i="14" s="1"/>
  <c r="A237" i="14"/>
  <c r="C237" i="14" s="1"/>
  <c r="A253" i="14"/>
  <c r="A269" i="14"/>
  <c r="C269" i="14" s="1"/>
  <c r="A245" i="14"/>
  <c r="C245" i="14" s="1"/>
  <c r="A261" i="14"/>
  <c r="C261" i="14" s="1"/>
  <c r="A241" i="14"/>
  <c r="C241" i="14" s="1"/>
  <c r="A257" i="14"/>
  <c r="C257" i="14" s="1"/>
  <c r="O41" i="6"/>
  <c r="B133" i="14" s="1"/>
  <c r="A96" i="14"/>
  <c r="C96" i="14" s="1"/>
  <c r="A100" i="14"/>
  <c r="C100" i="14" s="1"/>
  <c r="A104" i="14"/>
  <c r="A108" i="14"/>
  <c r="C108" i="14" s="1"/>
  <c r="A112" i="14"/>
  <c r="A116" i="14"/>
  <c r="C116" i="14" s="1"/>
  <c r="A120" i="14"/>
  <c r="C120" i="14" s="1"/>
  <c r="A124" i="14"/>
  <c r="C124" i="14" s="1"/>
  <c r="A128" i="14"/>
  <c r="C128" i="14" s="1"/>
  <c r="A132" i="14"/>
  <c r="C132" i="14" s="1"/>
  <c r="A97" i="14"/>
  <c r="C97" i="14" s="1"/>
  <c r="A101" i="14"/>
  <c r="C101" i="14" s="1"/>
  <c r="A105" i="14"/>
  <c r="C105" i="14" s="1"/>
  <c r="A109" i="14"/>
  <c r="C109" i="14" s="1"/>
  <c r="A113" i="14"/>
  <c r="C113" i="14" s="1"/>
  <c r="A117" i="14"/>
  <c r="C117" i="14" s="1"/>
  <c r="A121" i="14"/>
  <c r="C121" i="14" s="1"/>
  <c r="A125" i="14"/>
  <c r="A129" i="14"/>
  <c r="C129" i="14" s="1"/>
  <c r="A95" i="14"/>
  <c r="C95" i="14" s="1"/>
  <c r="A99" i="14"/>
  <c r="C99" i="14" s="1"/>
  <c r="A107" i="14"/>
  <c r="C107" i="14" s="1"/>
  <c r="A115" i="14"/>
  <c r="C115" i="14" s="1"/>
  <c r="A123" i="14"/>
  <c r="C123" i="14" s="1"/>
  <c r="A131" i="14"/>
  <c r="C131" i="14" s="1"/>
  <c r="A102" i="14"/>
  <c r="C102" i="14" s="1"/>
  <c r="A110" i="14"/>
  <c r="C110" i="14" s="1"/>
  <c r="A118" i="14"/>
  <c r="C118" i="14" s="1"/>
  <c r="A126" i="14"/>
  <c r="C126" i="14" s="1"/>
  <c r="A111" i="14"/>
  <c r="C111" i="14" s="1"/>
  <c r="A127" i="14"/>
  <c r="A98" i="14"/>
  <c r="C98" i="14" s="1"/>
  <c r="A106" i="14"/>
  <c r="C106" i="14" s="1"/>
  <c r="A114" i="14"/>
  <c r="A122" i="14"/>
  <c r="C122" i="14" s="1"/>
  <c r="A130" i="14"/>
  <c r="C130" i="14" s="1"/>
  <c r="A103" i="14"/>
  <c r="A119" i="14"/>
  <c r="C119" i="14" s="1"/>
  <c r="A191" i="14"/>
  <c r="C191" i="14" s="1"/>
  <c r="A195" i="14"/>
  <c r="C195" i="14" s="1"/>
  <c r="A199" i="14"/>
  <c r="C199" i="14" s="1"/>
  <c r="A203" i="14"/>
  <c r="C203" i="14" s="1"/>
  <c r="A207" i="14"/>
  <c r="C207" i="14" s="1"/>
  <c r="A211" i="14"/>
  <c r="C211" i="14" s="1"/>
  <c r="A215" i="14"/>
  <c r="C215" i="14" s="1"/>
  <c r="A219" i="14"/>
  <c r="C219" i="14" s="1"/>
  <c r="A223" i="14"/>
  <c r="C223" i="14" s="1"/>
  <c r="A188" i="14"/>
  <c r="C188" i="14" s="1"/>
  <c r="A192" i="14"/>
  <c r="C192" i="14" s="1"/>
  <c r="A196" i="14"/>
  <c r="C196" i="14" s="1"/>
  <c r="A200" i="14"/>
  <c r="C200" i="14" s="1"/>
  <c r="A204" i="14"/>
  <c r="C204" i="14" s="1"/>
  <c r="A208" i="14"/>
  <c r="A212" i="14"/>
  <c r="C212" i="14" s="1"/>
  <c r="A216" i="14"/>
  <c r="C216" i="14" s="1"/>
  <c r="A220" i="14"/>
  <c r="C220" i="14" s="1"/>
  <c r="A224" i="14"/>
  <c r="C224" i="14" s="1"/>
  <c r="A190" i="14"/>
  <c r="C190" i="14" s="1"/>
  <c r="A194" i="14"/>
  <c r="C194" i="14" s="1"/>
  <c r="A198" i="14"/>
  <c r="A202" i="14"/>
  <c r="C202" i="14" s="1"/>
  <c r="A206" i="14"/>
  <c r="C206" i="14" s="1"/>
  <c r="A210" i="14"/>
  <c r="C210" i="14" s="1"/>
  <c r="A214" i="14"/>
  <c r="C214" i="14" s="1"/>
  <c r="A218" i="14"/>
  <c r="A222" i="14"/>
  <c r="C222" i="14" s="1"/>
  <c r="Q41" i="6"/>
  <c r="B225" i="14" s="1"/>
  <c r="A197" i="14"/>
  <c r="C197" i="14" s="1"/>
  <c r="A213" i="14"/>
  <c r="A201" i="14"/>
  <c r="C201" i="14" s="1"/>
  <c r="A217" i="14"/>
  <c r="C217" i="14" s="1"/>
  <c r="A193" i="14"/>
  <c r="A209" i="14"/>
  <c r="C209" i="14" s="1"/>
  <c r="A187" i="14"/>
  <c r="C187" i="14" s="1"/>
  <c r="A189" i="14"/>
  <c r="C189" i="14" s="1"/>
  <c r="A205" i="14"/>
  <c r="C205" i="14" s="1"/>
  <c r="A221" i="14"/>
  <c r="N38" i="6"/>
  <c r="B84" i="14" s="1"/>
  <c r="N37" i="6"/>
  <c r="B83" i="14" s="1"/>
  <c r="P37" i="6"/>
  <c r="B175" i="14" s="1"/>
  <c r="P38" i="6"/>
  <c r="B176" i="14" s="1"/>
  <c r="R38" i="6"/>
  <c r="B268" i="14" s="1"/>
  <c r="R37" i="6"/>
  <c r="B267" i="14" s="1"/>
  <c r="O37" i="6"/>
  <c r="B129" i="14" s="1"/>
  <c r="O38" i="6"/>
  <c r="B130" i="14" s="1"/>
  <c r="Q37" i="6"/>
  <c r="B221" i="14" s="1"/>
  <c r="Q38" i="6"/>
  <c r="B222" i="14" s="1"/>
  <c r="O35" i="6"/>
  <c r="B127" i="14" s="1"/>
  <c r="O36" i="6"/>
  <c r="B128" i="14" s="1"/>
  <c r="Q35" i="6"/>
  <c r="B219" i="14" s="1"/>
  <c r="Q36" i="6"/>
  <c r="B220" i="14" s="1"/>
  <c r="N36" i="6"/>
  <c r="B82" i="14" s="1"/>
  <c r="N35" i="6"/>
  <c r="B81" i="14" s="1"/>
  <c r="P35" i="6"/>
  <c r="B173" i="14" s="1"/>
  <c r="P36" i="6"/>
  <c r="B174" i="14" s="1"/>
  <c r="R36" i="6"/>
  <c r="B266" i="14" s="1"/>
  <c r="R35" i="6"/>
  <c r="B265" i="14" s="1"/>
  <c r="N34" i="6"/>
  <c r="B80" i="14" s="1"/>
  <c r="N40" i="6"/>
  <c r="B86" i="14" s="1"/>
  <c r="P34" i="6"/>
  <c r="B172" i="14" s="1"/>
  <c r="P40" i="6"/>
  <c r="B178" i="14" s="1"/>
  <c r="R34" i="6"/>
  <c r="B264" i="14" s="1"/>
  <c r="R40" i="6"/>
  <c r="B270" i="14" s="1"/>
  <c r="O34" i="6"/>
  <c r="B126" i="14" s="1"/>
  <c r="O40" i="6"/>
  <c r="B132" i="14" s="1"/>
  <c r="Q34" i="6"/>
  <c r="B218" i="14" s="1"/>
  <c r="Q40" i="6"/>
  <c r="B224" i="14" s="1"/>
  <c r="O31" i="6"/>
  <c r="B123" i="14" s="1"/>
  <c r="O33" i="6"/>
  <c r="B125" i="14" s="1"/>
  <c r="Q31" i="6"/>
  <c r="B215" i="14" s="1"/>
  <c r="Q33" i="6"/>
  <c r="B217" i="14" s="1"/>
  <c r="N31" i="6"/>
  <c r="B77" i="14" s="1"/>
  <c r="N33" i="6"/>
  <c r="B79" i="14" s="1"/>
  <c r="P31" i="6"/>
  <c r="B169" i="14" s="1"/>
  <c r="P33" i="6"/>
  <c r="B171" i="14" s="1"/>
  <c r="R31" i="6"/>
  <c r="B261" i="14" s="1"/>
  <c r="R33" i="6"/>
  <c r="B263" i="14" s="1"/>
  <c r="N27" i="6"/>
  <c r="B73" i="14" s="1"/>
  <c r="N30" i="6"/>
  <c r="B76" i="14" s="1"/>
  <c r="P27" i="6"/>
  <c r="B165" i="14" s="1"/>
  <c r="P30" i="6"/>
  <c r="B168" i="14" s="1"/>
  <c r="R27" i="6"/>
  <c r="B257" i="14" s="1"/>
  <c r="R30" i="6"/>
  <c r="B260" i="14" s="1"/>
  <c r="O27" i="6"/>
  <c r="B119" i="14" s="1"/>
  <c r="O30" i="6"/>
  <c r="B122" i="14" s="1"/>
  <c r="Q27" i="6"/>
  <c r="B211" i="14" s="1"/>
  <c r="Q30" i="6"/>
  <c r="B214" i="14" s="1"/>
  <c r="O25" i="6"/>
  <c r="B117" i="14" s="1"/>
  <c r="O26" i="6"/>
  <c r="B118" i="14" s="1"/>
  <c r="Q25" i="6"/>
  <c r="B209" i="14" s="1"/>
  <c r="Q26" i="6"/>
  <c r="B210" i="14" s="1"/>
  <c r="N25" i="6"/>
  <c r="B71" i="14" s="1"/>
  <c r="N26" i="6"/>
  <c r="B72" i="14" s="1"/>
  <c r="P25" i="6"/>
  <c r="B163" i="14" s="1"/>
  <c r="P26" i="6"/>
  <c r="B164" i="14" s="1"/>
  <c r="R25" i="6"/>
  <c r="B255" i="14" s="1"/>
  <c r="R26" i="6"/>
  <c r="B256" i="14" s="1"/>
  <c r="N22" i="6"/>
  <c r="B68" i="14" s="1"/>
  <c r="N24" i="6"/>
  <c r="B70" i="14" s="1"/>
  <c r="N23" i="6"/>
  <c r="B69" i="14" s="1"/>
  <c r="P22" i="6"/>
  <c r="B160" i="14" s="1"/>
  <c r="P24" i="6"/>
  <c r="B162" i="14" s="1"/>
  <c r="P23" i="6"/>
  <c r="B161" i="14" s="1"/>
  <c r="R22" i="6"/>
  <c r="B252" i="14" s="1"/>
  <c r="R24" i="6"/>
  <c r="B254" i="14" s="1"/>
  <c r="R23" i="6"/>
  <c r="B253" i="14" s="1"/>
  <c r="O22" i="6"/>
  <c r="B114" i="14" s="1"/>
  <c r="O24" i="6"/>
  <c r="B116" i="14" s="1"/>
  <c r="O23" i="6"/>
  <c r="B115" i="14" s="1"/>
  <c r="Q22" i="6"/>
  <c r="B206" i="14" s="1"/>
  <c r="Q23" i="6"/>
  <c r="B207" i="14" s="1"/>
  <c r="Q24" i="6"/>
  <c r="B208" i="14" s="1"/>
  <c r="O18" i="6"/>
  <c r="B110" i="14" s="1"/>
  <c r="O17" i="6"/>
  <c r="B109" i="14" s="1"/>
  <c r="N18" i="6"/>
  <c r="B64" i="14" s="1"/>
  <c r="N17" i="6"/>
  <c r="B63" i="14" s="1"/>
  <c r="P18" i="6"/>
  <c r="B156" i="14" s="1"/>
  <c r="P17" i="6"/>
  <c r="B155" i="14" s="1"/>
  <c r="R18" i="6"/>
  <c r="B248" i="14" s="1"/>
  <c r="R17" i="6"/>
  <c r="B247" i="14" s="1"/>
  <c r="Q18" i="6"/>
  <c r="B202" i="14" s="1"/>
  <c r="Q17" i="6"/>
  <c r="B201" i="14" s="1"/>
  <c r="O13" i="6"/>
  <c r="B105" i="14" s="1"/>
  <c r="O15" i="6"/>
  <c r="B107" i="14" s="1"/>
  <c r="O14" i="6"/>
  <c r="B106" i="14" s="1"/>
  <c r="Q13" i="6"/>
  <c r="B197" i="14" s="1"/>
  <c r="Q14" i="6"/>
  <c r="B198" i="14" s="1"/>
  <c r="Q15" i="6"/>
  <c r="B199" i="14" s="1"/>
  <c r="N13" i="6"/>
  <c r="B59" i="14" s="1"/>
  <c r="N15" i="6"/>
  <c r="B61" i="14" s="1"/>
  <c r="N14" i="6"/>
  <c r="B60" i="14" s="1"/>
  <c r="P13" i="6"/>
  <c r="B151" i="14" s="1"/>
  <c r="P15" i="6"/>
  <c r="B153" i="14" s="1"/>
  <c r="P14" i="6"/>
  <c r="B152" i="14" s="1"/>
  <c r="R13" i="6"/>
  <c r="B243" i="14" s="1"/>
  <c r="R15" i="6"/>
  <c r="B245" i="14" s="1"/>
  <c r="R14" i="6"/>
  <c r="B244" i="14" s="1"/>
  <c r="N11" i="6"/>
  <c r="B57" i="14" s="1"/>
  <c r="N10" i="6"/>
  <c r="B56" i="14" s="1"/>
  <c r="P11" i="6"/>
  <c r="B149" i="14" s="1"/>
  <c r="P10" i="6"/>
  <c r="B148" i="14" s="1"/>
  <c r="R11" i="6"/>
  <c r="B241" i="14" s="1"/>
  <c r="R10" i="6"/>
  <c r="B240" i="14" s="1"/>
  <c r="O11" i="6"/>
  <c r="B103" i="14" s="1"/>
  <c r="O10" i="6"/>
  <c r="B102" i="14" s="1"/>
  <c r="Q10" i="6"/>
  <c r="B194" i="14" s="1"/>
  <c r="Q11" i="6"/>
  <c r="B195" i="14" s="1"/>
  <c r="O4" i="6"/>
  <c r="B96" i="14" s="1"/>
  <c r="O9" i="6"/>
  <c r="B101" i="14" s="1"/>
  <c r="Q4" i="6"/>
  <c r="B188" i="14" s="1"/>
  <c r="Q9" i="6"/>
  <c r="B193" i="14" s="1"/>
  <c r="N9" i="6"/>
  <c r="B55" i="14" s="1"/>
  <c r="N4" i="6"/>
  <c r="B50" i="14" s="1"/>
  <c r="N16" i="6"/>
  <c r="B62" i="14" s="1"/>
  <c r="N29" i="6"/>
  <c r="B75" i="14" s="1"/>
  <c r="N19" i="6"/>
  <c r="B65" i="14" s="1"/>
  <c r="N39" i="6"/>
  <c r="B85" i="14" s="1"/>
  <c r="N12" i="6"/>
  <c r="B58" i="14" s="1"/>
  <c r="N28" i="6"/>
  <c r="B74" i="14" s="1"/>
  <c r="N6" i="6"/>
  <c r="B52" i="14" s="1"/>
  <c r="N7" i="6"/>
  <c r="B53" i="14" s="1"/>
  <c r="N5" i="6"/>
  <c r="B51" i="14" s="1"/>
  <c r="N21" i="6"/>
  <c r="B67" i="14" s="1"/>
  <c r="N32" i="6"/>
  <c r="B78" i="14" s="1"/>
  <c r="N20" i="6"/>
  <c r="B66" i="14" s="1"/>
  <c r="N8" i="6"/>
  <c r="B54" i="14" s="1"/>
  <c r="P9" i="6"/>
  <c r="B147" i="14" s="1"/>
  <c r="P4" i="6"/>
  <c r="B142" i="14" s="1"/>
  <c r="R9" i="6"/>
  <c r="B239" i="14" s="1"/>
  <c r="R4" i="6"/>
  <c r="B234" i="14" s="1"/>
  <c r="O5" i="6"/>
  <c r="B97" i="14" s="1"/>
  <c r="O7" i="6"/>
  <c r="B99" i="14" s="1"/>
  <c r="O6" i="6"/>
  <c r="B98" i="14" s="1"/>
  <c r="Q5" i="6"/>
  <c r="B189" i="14" s="1"/>
  <c r="Q6" i="6"/>
  <c r="B190" i="14" s="1"/>
  <c r="Q7" i="6"/>
  <c r="B191" i="14" s="1"/>
  <c r="P5" i="6"/>
  <c r="B143" i="14" s="1"/>
  <c r="P7" i="6"/>
  <c r="B145" i="14" s="1"/>
  <c r="P6" i="6"/>
  <c r="B144" i="14" s="1"/>
  <c r="R5" i="6"/>
  <c r="B235" i="14" s="1"/>
  <c r="R7" i="6"/>
  <c r="B237" i="14" s="1"/>
  <c r="R6" i="6"/>
  <c r="B236" i="14" s="1"/>
  <c r="E44" i="15"/>
  <c r="E45" i="15"/>
  <c r="E46" i="15"/>
  <c r="E47" i="15"/>
  <c r="E42" i="15"/>
  <c r="O8" i="6" l="1"/>
  <c r="B100" i="14" s="1"/>
  <c r="M12" i="6"/>
  <c r="B12" i="14" s="1"/>
  <c r="R16" i="6"/>
  <c r="B246" i="14" s="1"/>
  <c r="O28" i="6"/>
  <c r="B120" i="14" s="1"/>
  <c r="P32" i="6"/>
  <c r="B170" i="14" s="1"/>
  <c r="AH4" i="12"/>
  <c r="AH5" i="12"/>
  <c r="AH6" i="12"/>
  <c r="AH7" i="12"/>
  <c r="AH8" i="12"/>
  <c r="AH9" i="12"/>
  <c r="AH10" i="12"/>
  <c r="AH11" i="12"/>
  <c r="AH12" i="12"/>
  <c r="AH13" i="12"/>
  <c r="AH14" i="12"/>
  <c r="AH3" i="12"/>
  <c r="J9" i="12"/>
  <c r="K9" i="12" s="1"/>
  <c r="J10" i="12"/>
  <c r="J11" i="12"/>
  <c r="K11" i="12" s="1"/>
  <c r="J12" i="12"/>
  <c r="K12" i="12" s="1"/>
  <c r="J13" i="12"/>
  <c r="K13" i="12" s="1"/>
  <c r="J14" i="12"/>
  <c r="K14" i="12" s="1"/>
  <c r="AG31" i="12"/>
  <c r="AG32" i="12"/>
  <c r="AG33" i="12"/>
  <c r="AG34" i="12"/>
  <c r="AG35" i="12"/>
  <c r="AG30" i="12"/>
  <c r="C37" i="15"/>
  <c r="AJ40" i="12" s="1"/>
  <c r="C35" i="15"/>
  <c r="C47" i="15"/>
  <c r="C46" i="15"/>
  <c r="C45" i="15"/>
  <c r="AI3" i="12"/>
  <c r="AI4" i="12"/>
  <c r="AI5" i="12"/>
  <c r="AI6" i="12"/>
  <c r="AI7" i="12"/>
  <c r="AI8" i="12"/>
  <c r="AI9" i="12"/>
  <c r="AI10" i="12"/>
  <c r="AI11" i="12"/>
  <c r="AI12" i="12"/>
  <c r="AI13" i="12"/>
  <c r="AI14" i="12"/>
  <c r="AF21" i="6"/>
  <c r="AE12" i="6"/>
  <c r="AL11" i="12" l="1"/>
  <c r="AM11" i="12"/>
  <c r="AN11" i="12"/>
  <c r="AK11" i="12"/>
  <c r="AO11" i="12"/>
  <c r="AK12" i="12"/>
  <c r="AO12" i="12"/>
  <c r="AL12" i="12"/>
  <c r="AM12" i="12"/>
  <c r="AN12" i="12"/>
  <c r="AK8" i="12"/>
  <c r="AO8" i="12"/>
  <c r="AL8" i="12"/>
  <c r="AM8" i="12"/>
  <c r="AN8" i="12"/>
  <c r="AK4" i="12"/>
  <c r="AO4" i="12"/>
  <c r="AL4" i="12"/>
  <c r="AM4" i="12"/>
  <c r="AN4" i="12"/>
  <c r="AM14" i="12"/>
  <c r="AN14" i="12"/>
  <c r="AL14" i="12"/>
  <c r="AK14" i="12"/>
  <c r="AO14" i="12"/>
  <c r="AM10" i="12"/>
  <c r="AN10" i="12"/>
  <c r="AK10" i="12"/>
  <c r="AO10" i="12"/>
  <c r="AL10" i="12"/>
  <c r="AM6" i="12"/>
  <c r="AN6" i="12"/>
  <c r="AK6" i="12"/>
  <c r="AO6" i="12"/>
  <c r="AL6" i="12"/>
  <c r="AM3" i="12"/>
  <c r="AN3" i="12"/>
  <c r="AL3" i="12"/>
  <c r="AK3" i="12"/>
  <c r="AO3" i="12"/>
  <c r="AL7" i="12"/>
  <c r="AM7" i="12"/>
  <c r="AN7" i="12"/>
  <c r="AK7" i="12"/>
  <c r="AO7" i="12"/>
  <c r="AN13" i="12"/>
  <c r="AK13" i="12"/>
  <c r="AO13" i="12"/>
  <c r="AM13" i="12"/>
  <c r="AL13" i="12"/>
  <c r="AN9" i="12"/>
  <c r="AK9" i="12"/>
  <c r="AO9" i="12"/>
  <c r="AL9" i="12"/>
  <c r="AM9" i="12"/>
  <c r="AN5" i="12"/>
  <c r="AK5" i="12"/>
  <c r="AO5" i="12"/>
  <c r="AL5" i="12"/>
  <c r="AM5" i="12"/>
  <c r="AJ9" i="12"/>
  <c r="AJ7" i="12"/>
  <c r="AJ14" i="12"/>
  <c r="AJ10" i="12"/>
  <c r="AJ6" i="12"/>
  <c r="AJ13" i="12"/>
  <c r="AJ12" i="12"/>
  <c r="AJ8" i="12"/>
  <c r="AJ4" i="12"/>
  <c r="AJ5" i="12"/>
  <c r="AJ11" i="12"/>
  <c r="AJ3" i="12"/>
  <c r="M4" i="6"/>
  <c r="B4" i="14" s="1"/>
  <c r="Q32" i="6"/>
  <c r="B216" i="14" s="1"/>
  <c r="J19" i="12"/>
  <c r="AJ39" i="12"/>
  <c r="T4" i="12" s="1"/>
  <c r="J15" i="12"/>
  <c r="J20" i="12"/>
  <c r="J18" i="12"/>
  <c r="J17" i="12"/>
  <c r="J16" i="12"/>
  <c r="K16" i="12" s="1"/>
  <c r="K10" i="12"/>
  <c r="Q21" i="6"/>
  <c r="B205" i="14" s="1"/>
  <c r="Q39" i="6"/>
  <c r="B223" i="14" s="1"/>
  <c r="O12" i="6"/>
  <c r="B104" i="14" s="1"/>
  <c r="R39" i="6"/>
  <c r="B269" i="14" s="1"/>
  <c r="R21" i="6"/>
  <c r="B251" i="14" s="1"/>
  <c r="P12" i="6"/>
  <c r="B150" i="14" s="1"/>
  <c r="P21" i="6"/>
  <c r="B159" i="14" s="1"/>
  <c r="R12" i="6"/>
  <c r="B242" i="14" s="1"/>
  <c r="O21" i="6"/>
  <c r="B113" i="14" s="1"/>
  <c r="M39" i="6"/>
  <c r="B39" i="14" s="1"/>
  <c r="P39" i="6"/>
  <c r="B177" i="14" s="1"/>
  <c r="M32" i="6"/>
  <c r="B32" i="14" s="1"/>
  <c r="O32" i="6"/>
  <c r="B124" i="14" s="1"/>
  <c r="Q12" i="6"/>
  <c r="B196" i="14" s="1"/>
  <c r="M8" i="6"/>
  <c r="B8" i="14" s="1"/>
  <c r="R28" i="6"/>
  <c r="B258" i="14" s="1"/>
  <c r="P8" i="6"/>
  <c r="B146" i="14" s="1"/>
  <c r="P16" i="6"/>
  <c r="B154" i="14" s="1"/>
  <c r="R32" i="6"/>
  <c r="B262" i="14" s="1"/>
  <c r="M21" i="6"/>
  <c r="B21" i="14" s="1"/>
  <c r="M20" i="6"/>
  <c r="B20" i="14" s="1"/>
  <c r="Q28" i="6"/>
  <c r="B212" i="14" s="1"/>
  <c r="Q8" i="6"/>
  <c r="B192" i="14" s="1"/>
  <c r="M16" i="6"/>
  <c r="B16" i="14" s="1"/>
  <c r="P28" i="6"/>
  <c r="B166" i="14" s="1"/>
  <c r="O39" i="6"/>
  <c r="B131" i="14" s="1"/>
  <c r="M3" i="12"/>
  <c r="R8" i="6"/>
  <c r="B238" i="14" s="1"/>
  <c r="O16" i="6"/>
  <c r="B108" i="14" s="1"/>
  <c r="Q16" i="6"/>
  <c r="B200" i="14" s="1"/>
  <c r="M28" i="6"/>
  <c r="B28" i="14" s="1"/>
  <c r="AI15" i="12"/>
  <c r="R20" i="6"/>
  <c r="B250" i="14" s="1"/>
  <c r="O20" i="6"/>
  <c r="B112" i="14" s="1"/>
  <c r="Q20" i="6"/>
  <c r="B204" i="14" s="1"/>
  <c r="Q29" i="6"/>
  <c r="B213" i="14" s="1"/>
  <c r="P29" i="6"/>
  <c r="B167" i="14" s="1"/>
  <c r="Q19" i="6"/>
  <c r="B203" i="14" s="1"/>
  <c r="M19" i="6"/>
  <c r="B19" i="14" s="1"/>
  <c r="R19" i="6"/>
  <c r="B249" i="14" s="1"/>
  <c r="P19" i="6"/>
  <c r="B157" i="14" s="1"/>
  <c r="O19" i="6"/>
  <c r="B111" i="14" s="1"/>
  <c r="T5" i="12" l="1"/>
  <c r="C61" i="14"/>
  <c r="AO15" i="12"/>
  <c r="AM15" i="12"/>
  <c r="AK15" i="12"/>
  <c r="AL15" i="12"/>
  <c r="AN15" i="12"/>
  <c r="AJ15" i="12"/>
  <c r="B141" i="14"/>
  <c r="B187" i="14"/>
  <c r="B49" i="14"/>
  <c r="B233" i="14"/>
  <c r="B95" i="14"/>
  <c r="B3" i="14"/>
  <c r="J22" i="12"/>
  <c r="K19" i="12"/>
  <c r="J25" i="12"/>
  <c r="J23" i="12"/>
  <c r="K17" i="12"/>
  <c r="K20" i="12"/>
  <c r="J26" i="12"/>
  <c r="K18" i="12"/>
  <c r="J24" i="12"/>
  <c r="K15" i="12"/>
  <c r="J21" i="12"/>
  <c r="N3" i="12"/>
  <c r="R3" i="12" s="1"/>
  <c r="R29" i="6"/>
  <c r="B259" i="14" s="1"/>
  <c r="K49" i="6"/>
  <c r="O29" i="6"/>
  <c r="B121" i="14" s="1"/>
  <c r="M29" i="6"/>
  <c r="B29" i="14" s="1"/>
  <c r="P20" i="6"/>
  <c r="B158" i="14" s="1"/>
  <c r="T6" i="12" l="1"/>
  <c r="C104" i="14"/>
  <c r="K25" i="12"/>
  <c r="J31" i="12"/>
  <c r="K22" i="12"/>
  <c r="J28" i="12"/>
  <c r="P3" i="12"/>
  <c r="J30" i="12"/>
  <c r="K24" i="12"/>
  <c r="K21" i="12"/>
  <c r="J27" i="12"/>
  <c r="K26" i="12"/>
  <c r="J32" i="12"/>
  <c r="K23" i="12"/>
  <c r="J29" i="12"/>
  <c r="AC3" i="12"/>
  <c r="AD3" i="12" s="1"/>
  <c r="X3" i="12" l="1"/>
  <c r="Y3" i="12"/>
  <c r="O4" i="12"/>
  <c r="Q3" i="12"/>
  <c r="C146" i="14"/>
  <c r="T7" i="12"/>
  <c r="AE3" i="12"/>
  <c r="K28" i="12"/>
  <c r="J34" i="12"/>
  <c r="K31" i="12"/>
  <c r="J37" i="12"/>
  <c r="K37" i="12" s="1"/>
  <c r="K29" i="12"/>
  <c r="J35" i="12"/>
  <c r="K35" i="12" s="1"/>
  <c r="K27" i="12"/>
  <c r="J33" i="12"/>
  <c r="J38" i="12"/>
  <c r="K38" i="12" s="1"/>
  <c r="K32" i="12"/>
  <c r="K30" i="12"/>
  <c r="J36" i="12"/>
  <c r="K36" i="12" s="1"/>
  <c r="C198" i="14" l="1"/>
  <c r="T8" i="12"/>
  <c r="K34" i="12"/>
  <c r="J40" i="12"/>
  <c r="K40" i="12" s="1"/>
  <c r="S4" i="12"/>
  <c r="M4" i="12"/>
  <c r="J39" i="12"/>
  <c r="K39" i="12" s="1"/>
  <c r="K33" i="12"/>
  <c r="AC4" i="12" l="1"/>
  <c r="C234" i="14"/>
  <c r="T9" i="12"/>
  <c r="N4" i="12"/>
  <c r="R4" i="12" s="1"/>
  <c r="C17" i="14" l="1"/>
  <c r="T10" i="12"/>
  <c r="P4" i="12"/>
  <c r="AD4" i="12"/>
  <c r="X4" i="12" l="1"/>
  <c r="Y4" i="12"/>
  <c r="O5" i="12"/>
  <c r="Q4" i="12"/>
  <c r="C59" i="14"/>
  <c r="T11" i="12"/>
  <c r="AE4" i="12"/>
  <c r="C103" i="14" l="1"/>
  <c r="T12" i="12"/>
  <c r="S5" i="12"/>
  <c r="M5" i="12"/>
  <c r="C143" i="14" l="1"/>
  <c r="T13" i="12"/>
  <c r="N5" i="12"/>
  <c r="R5" i="12" s="1"/>
  <c r="P5" i="12"/>
  <c r="X5" i="12" l="1"/>
  <c r="Y5" i="12"/>
  <c r="O6" i="12"/>
  <c r="Q5" i="12"/>
  <c r="C193" i="14"/>
  <c r="T14" i="12"/>
  <c r="AC5" i="12"/>
  <c r="AD5" i="12" s="1"/>
  <c r="AE5" i="12" l="1"/>
  <c r="C236" i="14"/>
  <c r="T15" i="12"/>
  <c r="M6" i="12"/>
  <c r="N6" i="12" s="1"/>
  <c r="R6" i="12" s="1"/>
  <c r="S6" i="12"/>
  <c r="C6" i="14" l="1"/>
  <c r="C7" i="14"/>
  <c r="C10" i="14"/>
  <c r="T16" i="12"/>
  <c r="P6" i="12"/>
  <c r="X6" i="12" l="1"/>
  <c r="Y6" i="12"/>
  <c r="O7" i="12"/>
  <c r="Q6" i="12"/>
  <c r="C57" i="14"/>
  <c r="C56" i="14"/>
  <c r="C53" i="14"/>
  <c r="T17" i="12"/>
  <c r="AC6" i="12"/>
  <c r="AD6" i="12" s="1"/>
  <c r="AE6" i="12" l="1"/>
  <c r="M7" i="12"/>
  <c r="N7" i="12" s="1"/>
  <c r="P7" i="12" s="1"/>
  <c r="Y7" i="12" s="1"/>
  <c r="C112" i="14"/>
  <c r="T18" i="12"/>
  <c r="S7" i="12"/>
  <c r="O8" i="12" l="1"/>
  <c r="X7" i="12"/>
  <c r="R7" i="12"/>
  <c r="Q7" i="12"/>
  <c r="AC7" i="12"/>
  <c r="AD7" i="12" s="1"/>
  <c r="C157" i="14"/>
  <c r="T19" i="12"/>
  <c r="M8" i="12" l="1"/>
  <c r="N8" i="12" s="1"/>
  <c r="P8" i="12" s="1"/>
  <c r="X8" i="12" s="1"/>
  <c r="AE7" i="12"/>
  <c r="S8" i="12"/>
  <c r="AC8" i="12"/>
  <c r="R8" i="12"/>
  <c r="C213" i="14"/>
  <c r="T20" i="12"/>
  <c r="AD8" i="12" l="1"/>
  <c r="Y8" i="12"/>
  <c r="C253" i="14"/>
  <c r="O9" i="12"/>
  <c r="AE8" i="12"/>
  <c r="Q8" i="12"/>
  <c r="C251" i="14"/>
  <c r="T21" i="12"/>
  <c r="S9" i="12" l="1"/>
  <c r="M9" i="12"/>
  <c r="N9" i="12" s="1"/>
  <c r="C31" i="14"/>
  <c r="T22" i="12"/>
  <c r="AC9" i="12" l="1"/>
  <c r="AD9" i="12" s="1"/>
  <c r="R9" i="12"/>
  <c r="P9" i="12"/>
  <c r="C76" i="14"/>
  <c r="T23" i="12"/>
  <c r="X9" i="12" l="1"/>
  <c r="Y9" i="12"/>
  <c r="O10" i="12"/>
  <c r="AE9" i="12"/>
  <c r="C9" i="12"/>
  <c r="Q9" i="12"/>
  <c r="C114" i="14"/>
  <c r="T24" i="12"/>
  <c r="C159" i="14" l="1"/>
  <c r="M10" i="12"/>
  <c r="N10" i="12" s="1"/>
  <c r="S10" i="12"/>
  <c r="C161" i="14"/>
  <c r="T25" i="12"/>
  <c r="AC10" i="12" l="1"/>
  <c r="AD10" i="12" s="1"/>
  <c r="P10" i="12"/>
  <c r="R10" i="12"/>
  <c r="C208" i="14"/>
  <c r="T26" i="12"/>
  <c r="X10" i="12" l="1"/>
  <c r="Y10" i="12"/>
  <c r="O11" i="12"/>
  <c r="AE10" i="12"/>
  <c r="C10" i="12"/>
  <c r="Q10" i="12"/>
  <c r="C255" i="14"/>
  <c r="T27" i="12"/>
  <c r="S11" i="12" l="1"/>
  <c r="M11" i="12"/>
  <c r="N11" i="12" s="1"/>
  <c r="C26" i="14"/>
  <c r="T28" i="12"/>
  <c r="AC11" i="12" l="1"/>
  <c r="AD11" i="12" s="1"/>
  <c r="R11" i="12"/>
  <c r="P11" i="12"/>
  <c r="C73" i="14"/>
  <c r="T29" i="12"/>
  <c r="X11" i="12" l="1"/>
  <c r="Y11" i="12"/>
  <c r="O12" i="12"/>
  <c r="C11" i="12"/>
  <c r="Q11" i="12"/>
  <c r="AE11" i="12"/>
  <c r="C125" i="14"/>
  <c r="T30" i="12"/>
  <c r="S12" i="12" l="1"/>
  <c r="M12" i="12"/>
  <c r="N12" i="12" s="1"/>
  <c r="C166" i="14"/>
  <c r="T31" i="12"/>
  <c r="AC12" i="12" l="1"/>
  <c r="AD12" i="12" s="1"/>
  <c r="R12" i="12"/>
  <c r="P12" i="12"/>
  <c r="C218" i="14"/>
  <c r="T32" i="12"/>
  <c r="X12" i="12" l="1"/>
  <c r="Y12" i="12"/>
  <c r="O13" i="12"/>
  <c r="AE12" i="12"/>
  <c r="C12" i="12"/>
  <c r="Q12" i="12"/>
  <c r="C262" i="14"/>
  <c r="T33" i="12"/>
  <c r="S13" i="12" l="1"/>
  <c r="M13" i="12"/>
  <c r="N13" i="12" s="1"/>
  <c r="C16" i="14"/>
  <c r="T34" i="12"/>
  <c r="AC13" i="12" l="1"/>
  <c r="AD13" i="12" s="1"/>
  <c r="P13" i="12"/>
  <c r="R13" i="12"/>
  <c r="C64" i="14"/>
  <c r="T35" i="12"/>
  <c r="X13" i="12" l="1"/>
  <c r="Y13" i="12"/>
  <c r="O14" i="12"/>
  <c r="AE13" i="12"/>
  <c r="C13" i="12"/>
  <c r="Q13" i="12"/>
  <c r="C127" i="14"/>
  <c r="T36" i="12"/>
  <c r="S14" i="12" l="1"/>
  <c r="M14" i="12"/>
  <c r="N14" i="12" s="1"/>
  <c r="C174" i="14"/>
  <c r="T37" i="12"/>
  <c r="AC14" i="12" l="1"/>
  <c r="AD14" i="12" s="1"/>
  <c r="P14" i="12"/>
  <c r="R14" i="12"/>
  <c r="C221" i="14"/>
  <c r="T38" i="12"/>
  <c r="X14" i="12" l="1"/>
  <c r="Y14" i="12"/>
  <c r="O15" i="12"/>
  <c r="AE14" i="12"/>
  <c r="C14" i="12"/>
  <c r="Q14" i="12"/>
  <c r="C268" i="14"/>
  <c r="T39" i="12"/>
  <c r="M15" i="12" l="1"/>
  <c r="N15" i="12" s="1"/>
  <c r="S15" i="12"/>
  <c r="C39" i="14"/>
  <c r="T40" i="12"/>
  <c r="AC15" i="12" l="1"/>
  <c r="AD15" i="12" s="1"/>
  <c r="P15" i="12"/>
  <c r="R15" i="12"/>
  <c r="C86" i="14"/>
  <c r="T41" i="12"/>
  <c r="X15" i="12" l="1"/>
  <c r="Y15" i="12"/>
  <c r="O16" i="12"/>
  <c r="AE15" i="12"/>
  <c r="C15" i="12"/>
  <c r="Q15" i="12"/>
  <c r="S16" i="12" l="1"/>
  <c r="M16" i="12"/>
  <c r="N16" i="12" s="1"/>
  <c r="AC16" i="12" l="1"/>
  <c r="AD16" i="12" s="1"/>
  <c r="R16" i="12"/>
  <c r="P16" i="12"/>
  <c r="X16" i="12" l="1"/>
  <c r="Y16" i="12"/>
  <c r="O17" i="12"/>
  <c r="AE16" i="12"/>
  <c r="Q16" i="12"/>
  <c r="C16" i="12"/>
  <c r="M17" i="12" l="1"/>
  <c r="N17" i="12" s="1"/>
  <c r="S17" i="12"/>
  <c r="AC17" i="12" l="1"/>
  <c r="AD17" i="12" s="1"/>
  <c r="P17" i="12"/>
  <c r="R17" i="12"/>
  <c r="X17" i="12" l="1"/>
  <c r="Y17" i="12"/>
  <c r="O18" i="12"/>
  <c r="AE17" i="12"/>
  <c r="C17" i="12"/>
  <c r="Q17" i="12"/>
  <c r="M18" i="12" l="1"/>
  <c r="N18" i="12" s="1"/>
  <c r="S18" i="12"/>
  <c r="AC18" i="12" l="1"/>
  <c r="AD18" i="12" s="1"/>
  <c r="R18" i="12"/>
  <c r="P18" i="12"/>
  <c r="X18" i="12" l="1"/>
  <c r="Y18" i="12"/>
  <c r="O19" i="12"/>
  <c r="AE18" i="12"/>
  <c r="Q18" i="12"/>
  <c r="C18" i="12"/>
  <c r="M19" i="12" l="1"/>
  <c r="N19" i="12" s="1"/>
  <c r="S19" i="12"/>
  <c r="AC19" i="12" l="1"/>
  <c r="AD19" i="12" s="1"/>
  <c r="R19" i="12"/>
  <c r="P19" i="12"/>
  <c r="X19" i="12" l="1"/>
  <c r="Y19" i="12"/>
  <c r="O20" i="12"/>
  <c r="AE19" i="12"/>
  <c r="Q19" i="12"/>
  <c r="C19" i="12"/>
  <c r="S20" i="12" l="1"/>
  <c r="M20" i="12"/>
  <c r="N20" i="12" s="1"/>
  <c r="AC20" i="12" l="1"/>
  <c r="AD20" i="12" s="1"/>
  <c r="R20" i="12"/>
  <c r="P20" i="12"/>
  <c r="X20" i="12" l="1"/>
  <c r="Y20" i="12"/>
  <c r="O21" i="12"/>
  <c r="AE20" i="12"/>
  <c r="Q20" i="12"/>
  <c r="C20" i="12"/>
  <c r="M21" i="12" l="1"/>
  <c r="N21" i="12" s="1"/>
  <c r="S21" i="12"/>
  <c r="AC21" i="12" l="1"/>
  <c r="AD21" i="12" s="1"/>
  <c r="R21" i="12"/>
  <c r="P21" i="12"/>
  <c r="X21" i="12" l="1"/>
  <c r="Y21" i="12"/>
  <c r="O22" i="12"/>
  <c r="AE21" i="12"/>
  <c r="Q21" i="12"/>
  <c r="C21" i="12"/>
  <c r="M22" i="12" l="1"/>
  <c r="N22" i="12" s="1"/>
  <c r="S22" i="12"/>
  <c r="AC22" i="12" l="1"/>
  <c r="AD22" i="12" s="1"/>
  <c r="P22" i="12"/>
  <c r="R22" i="12"/>
  <c r="X22" i="12" l="1"/>
  <c r="Y22" i="12"/>
  <c r="O23" i="12"/>
  <c r="AE22" i="12"/>
  <c r="Q22" i="12"/>
  <c r="C22" i="12"/>
  <c r="M23" i="12" l="1"/>
  <c r="N23" i="12" s="1"/>
  <c r="S23" i="12"/>
  <c r="AC23" i="12" l="1"/>
  <c r="AD23" i="12" s="1"/>
  <c r="P23" i="12"/>
  <c r="R23" i="12"/>
  <c r="X23" i="12" l="1"/>
  <c r="Y23" i="12"/>
  <c r="O24" i="12"/>
  <c r="AE23" i="12"/>
  <c r="Q23" i="12"/>
  <c r="C23" i="12"/>
  <c r="M24" i="12" l="1"/>
  <c r="N24" i="12" s="1"/>
  <c r="S24" i="12"/>
  <c r="AC24" i="12" l="1"/>
  <c r="AD24" i="12" s="1"/>
  <c r="R24" i="12"/>
  <c r="P24" i="12"/>
  <c r="X24" i="12" l="1"/>
  <c r="Y24" i="12"/>
  <c r="O25" i="12"/>
  <c r="AE24" i="12"/>
  <c r="C24" i="12"/>
  <c r="Q24" i="12"/>
  <c r="M25" i="12" l="1"/>
  <c r="N25" i="12" s="1"/>
  <c r="S25" i="12"/>
  <c r="AC25" i="12" l="1"/>
  <c r="AD25" i="12" s="1"/>
  <c r="R25" i="12"/>
  <c r="P25" i="12"/>
  <c r="X25" i="12" l="1"/>
  <c r="Y25" i="12"/>
  <c r="O26" i="12"/>
  <c r="AE25" i="12"/>
  <c r="Q25" i="12"/>
  <c r="C25" i="12"/>
  <c r="S26" i="12" l="1"/>
  <c r="M26" i="12"/>
  <c r="N26" i="12" s="1"/>
  <c r="AC26" i="12" l="1"/>
  <c r="AD26" i="12" s="1"/>
  <c r="R26" i="12"/>
  <c r="P26" i="12"/>
  <c r="X26" i="12" l="1"/>
  <c r="Y26" i="12"/>
  <c r="O27" i="12"/>
  <c r="AE26" i="12"/>
  <c r="C26" i="12"/>
  <c r="Q26" i="12"/>
  <c r="S27" i="12" l="1"/>
  <c r="M27" i="12"/>
  <c r="N27" i="12" s="1"/>
  <c r="AC27" i="12" l="1"/>
  <c r="AD27" i="12" s="1"/>
  <c r="P27" i="12"/>
  <c r="R27" i="12"/>
  <c r="X27" i="12" l="1"/>
  <c r="Y27" i="12"/>
  <c r="O28" i="12"/>
  <c r="AE27" i="12"/>
  <c r="C27" i="12"/>
  <c r="Q27" i="12"/>
  <c r="M28" i="12" l="1"/>
  <c r="N28" i="12" s="1"/>
  <c r="S28" i="12"/>
  <c r="AC28" i="12" l="1"/>
  <c r="AD28" i="12" s="1"/>
  <c r="P28" i="12"/>
  <c r="R28" i="12"/>
  <c r="X28" i="12" l="1"/>
  <c r="Y28" i="12"/>
  <c r="O29" i="12"/>
  <c r="AE28" i="12"/>
  <c r="C28" i="12"/>
  <c r="Q28" i="12"/>
  <c r="S29" i="12" l="1"/>
  <c r="M29" i="12"/>
  <c r="N29" i="12" s="1"/>
  <c r="AC29" i="12" l="1"/>
  <c r="AD29" i="12" s="1"/>
  <c r="P29" i="12"/>
  <c r="R29" i="12"/>
  <c r="X29" i="12" l="1"/>
  <c r="Y29" i="12"/>
  <c r="O30" i="12"/>
  <c r="AE29" i="12"/>
  <c r="C29" i="12"/>
  <c r="Q29" i="12"/>
  <c r="S30" i="12" l="1"/>
  <c r="M30" i="12"/>
  <c r="N30" i="12" s="1"/>
  <c r="AC30" i="12" l="1"/>
  <c r="AD30" i="12" s="1"/>
  <c r="P30" i="12"/>
  <c r="R30" i="12"/>
  <c r="X30" i="12" l="1"/>
  <c r="Y30" i="12"/>
  <c r="O31" i="12"/>
  <c r="AE30" i="12"/>
  <c r="C30" i="12"/>
  <c r="Q30" i="12"/>
  <c r="S31" i="12" l="1"/>
  <c r="M31" i="12"/>
  <c r="N31" i="12" s="1"/>
  <c r="AC31" i="12" l="1"/>
  <c r="AD31" i="12" s="1"/>
  <c r="R31" i="12"/>
  <c r="P31" i="12"/>
  <c r="O32" i="12" l="1"/>
  <c r="AE31" i="12"/>
  <c r="Q31" i="12"/>
  <c r="C31" i="12"/>
  <c r="AC32" i="12" l="1"/>
  <c r="AD32" i="12" s="1"/>
  <c r="S32" i="12"/>
  <c r="M32" i="12"/>
  <c r="N32" i="12" s="1"/>
  <c r="R32" i="12" l="1"/>
  <c r="AE32" i="12" s="1"/>
  <c r="P32" i="12"/>
  <c r="O33" i="12" l="1"/>
  <c r="C32" i="12"/>
  <c r="Q32" i="12"/>
  <c r="M33" i="12" l="1"/>
  <c r="N33" i="12" s="1"/>
  <c r="AC33" i="12"/>
  <c r="AD33" i="12" s="1"/>
  <c r="S33" i="12"/>
  <c r="R33" i="12" l="1"/>
  <c r="AE33" i="12" s="1"/>
  <c r="P33" i="12"/>
  <c r="O34" i="12" l="1"/>
  <c r="Q33" i="12"/>
  <c r="C33" i="12"/>
  <c r="M34" i="12" l="1"/>
  <c r="N34" i="12" s="1"/>
  <c r="S34" i="12"/>
  <c r="AC34" i="12"/>
  <c r="AD34" i="12" s="1"/>
  <c r="P34" i="12" l="1"/>
  <c r="R34" i="12"/>
  <c r="AE34" i="12" s="1"/>
  <c r="O35" i="12" l="1"/>
  <c r="C34" i="12"/>
  <c r="Q34" i="12"/>
  <c r="AC35" i="12" l="1"/>
  <c r="AD35" i="12" s="1"/>
  <c r="S35" i="12"/>
  <c r="M35" i="12"/>
  <c r="N35" i="12" s="1"/>
  <c r="R35" i="12" l="1"/>
  <c r="AE35" i="12" s="1"/>
  <c r="P35" i="12"/>
  <c r="O36" i="12" l="1"/>
  <c r="C35" i="12"/>
  <c r="Q35" i="12"/>
  <c r="M36" i="12" l="1"/>
  <c r="N36" i="12" s="1"/>
  <c r="S36" i="12"/>
  <c r="AC36" i="12"/>
  <c r="AD36" i="12" s="1"/>
  <c r="R36" i="12" l="1"/>
  <c r="AE36" i="12" s="1"/>
  <c r="P36" i="12"/>
  <c r="O37" i="12" l="1"/>
  <c r="C36" i="12"/>
  <c r="Q36" i="12"/>
  <c r="M37" i="12" l="1"/>
  <c r="N37" i="12" s="1"/>
  <c r="S37" i="12"/>
  <c r="AC37" i="12"/>
  <c r="AD37" i="12" s="1"/>
  <c r="P37" i="12" l="1"/>
  <c r="O38" i="12" s="1"/>
  <c r="R37" i="12"/>
  <c r="AE37" i="12" s="1"/>
  <c r="C37" i="12" l="1"/>
  <c r="Q37" i="12"/>
  <c r="M38" i="12" l="1"/>
  <c r="N38" i="12" s="1"/>
  <c r="AC38" i="12"/>
  <c r="AD38" i="12" s="1"/>
  <c r="S38" i="12"/>
  <c r="R38" i="12" l="1"/>
  <c r="AE38" i="12" s="1"/>
  <c r="P38" i="12"/>
  <c r="O39" i="12" s="1"/>
  <c r="C38" i="12" l="1"/>
  <c r="Q38" i="12"/>
  <c r="S39" i="12" l="1"/>
  <c r="M39" i="12"/>
  <c r="N39" i="12" s="1"/>
  <c r="R39" i="12" l="1"/>
  <c r="P39" i="12"/>
  <c r="O40" i="12" s="1"/>
  <c r="AC39" i="12"/>
  <c r="AD39" i="12" s="1"/>
  <c r="AE39" i="12" l="1"/>
  <c r="C39" i="12"/>
  <c r="Q39" i="12"/>
  <c r="S40" i="12" l="1"/>
  <c r="Z41" i="12"/>
  <c r="M40" i="12"/>
  <c r="N40" i="12" s="1"/>
  <c r="AA41" i="12"/>
  <c r="P40" i="12" l="1"/>
  <c r="R40" i="12"/>
  <c r="AC40" i="12"/>
  <c r="AD40" i="12" s="1"/>
  <c r="AB41" i="12"/>
  <c r="AP30" i="12" l="1"/>
  <c r="AP31" i="12"/>
  <c r="AP32" i="12"/>
  <c r="AP33" i="12"/>
  <c r="AP34" i="12"/>
  <c r="AP35" i="12"/>
  <c r="Y41" i="12"/>
  <c r="AE40" i="12"/>
  <c r="P41" i="12"/>
  <c r="Q40" i="12"/>
  <c r="C40" i="12"/>
  <c r="AJ19" i="12" l="1"/>
  <c r="AN23" i="12"/>
  <c r="AU23" i="12"/>
  <c r="AP18" i="12"/>
  <c r="AQ20" i="12"/>
  <c r="AK21" i="12"/>
  <c r="AJ20" i="12"/>
  <c r="AN21" i="12"/>
  <c r="AL22" i="12"/>
  <c r="AR19" i="12"/>
  <c r="AR23" i="12"/>
  <c r="AN20" i="12"/>
  <c r="AQ22" i="12"/>
  <c r="AT20" i="12"/>
  <c r="AK23" i="12"/>
  <c r="AL18" i="12"/>
  <c r="AU20" i="12"/>
  <c r="AP20" i="12"/>
  <c r="AK19" i="12"/>
  <c r="AL23" i="12"/>
  <c r="AO23" i="12"/>
  <c r="AQ19" i="12"/>
  <c r="AL19" i="12"/>
  <c r="AO21" i="12"/>
  <c r="AN18" i="12"/>
  <c r="AL21" i="12"/>
  <c r="AK18" i="12"/>
  <c r="AJ18" i="12"/>
  <c r="AO22" i="12"/>
  <c r="AJ23" i="12"/>
  <c r="AR20" i="12"/>
  <c r="AQ23" i="12"/>
  <c r="AR18" i="12"/>
  <c r="AQ18" i="12"/>
  <c r="AU21" i="12"/>
  <c r="AJ22" i="12"/>
  <c r="AP19" i="12"/>
  <c r="AP21" i="12"/>
  <c r="AT18" i="12"/>
  <c r="AO20" i="12"/>
  <c r="AU18" i="12"/>
  <c r="AO19" i="12"/>
  <c r="AP22" i="12"/>
  <c r="AS21" i="12"/>
  <c r="AS18" i="12"/>
  <c r="AM18" i="12"/>
  <c r="AR22" i="12"/>
  <c r="AK22" i="12"/>
  <c r="AM20" i="12"/>
  <c r="AM22" i="12"/>
  <c r="AU19" i="12"/>
  <c r="AS23" i="12"/>
  <c r="AP23" i="12"/>
  <c r="AM19" i="12"/>
  <c r="AS19" i="12"/>
  <c r="AT21" i="12"/>
  <c r="AQ21" i="12"/>
  <c r="AN22" i="12"/>
  <c r="AJ21" i="12"/>
  <c r="AO18" i="12"/>
  <c r="AR21" i="12"/>
  <c r="AM23" i="12"/>
  <c r="AS22" i="12"/>
  <c r="AL20" i="12"/>
  <c r="AU22" i="12"/>
  <c r="AT23" i="12"/>
  <c r="AS20" i="12"/>
  <c r="AK20" i="12"/>
  <c r="AN19" i="12"/>
  <c r="AT19" i="12"/>
  <c r="AT22" i="12"/>
  <c r="AM21" i="12"/>
  <c r="AM33" i="12"/>
  <c r="AL34" i="12"/>
  <c r="AJ35" i="12"/>
  <c r="AM32" i="12"/>
  <c r="AN34" i="12"/>
  <c r="AM34" i="12"/>
  <c r="AQ33" i="12"/>
  <c r="AL31" i="12"/>
  <c r="AQ30" i="12"/>
  <c r="AL32" i="12"/>
  <c r="AQ32" i="12"/>
  <c r="AN33" i="12"/>
  <c r="AK34" i="12"/>
  <c r="AJ31" i="12"/>
  <c r="AQ34" i="12"/>
  <c r="AK30" i="12"/>
  <c r="AK35" i="12"/>
  <c r="AK33" i="12"/>
  <c r="AN31" i="12"/>
  <c r="AQ31" i="12"/>
  <c r="AM30" i="12"/>
  <c r="AK31" i="12"/>
  <c r="AQ35" i="12"/>
  <c r="AJ30" i="12"/>
  <c r="AN35" i="12"/>
  <c r="AJ34" i="12"/>
  <c r="AM35" i="12"/>
  <c r="AJ33" i="12"/>
  <c r="AJ32" i="12"/>
  <c r="AM31" i="12"/>
  <c r="AL30" i="12"/>
  <c r="AK32" i="12"/>
  <c r="AL33" i="12"/>
  <c r="AN30" i="12"/>
  <c r="AL35" i="12"/>
  <c r="AN32" i="12"/>
  <c r="AO30" i="12" l="1"/>
  <c r="AO35" i="12"/>
  <c r="AO32" i="12"/>
  <c r="AK36" i="12"/>
  <c r="AO33" i="12"/>
  <c r="AP36" i="12"/>
  <c r="AQ36" i="12"/>
  <c r="AJ36" i="12"/>
  <c r="AN36" i="12"/>
  <c r="AO34" i="12"/>
  <c r="AL36" i="12"/>
  <c r="AM36" i="12"/>
  <c r="AO31" i="12"/>
  <c r="AO36" i="12" l="1"/>
</calcChain>
</file>

<file path=xl/sharedStrings.xml><?xml version="1.0" encoding="utf-8"?>
<sst xmlns="http://schemas.openxmlformats.org/spreadsheetml/2006/main" count="455" uniqueCount="158">
  <si>
    <t>Endzeit</t>
  </si>
  <si>
    <t>Dämmerungzeit</t>
  </si>
  <si>
    <t>Start Farsta</t>
  </si>
  <si>
    <t xml:space="preserve">Short Easy </t>
  </si>
  <si>
    <t>Short Difficult</t>
  </si>
  <si>
    <t>Long Easy</t>
  </si>
  <si>
    <t>Long Difficult</t>
  </si>
  <si>
    <t>Short Twilight</t>
  </si>
  <si>
    <t>Long Twilight</t>
  </si>
  <si>
    <t>Short Easy Night</t>
  </si>
  <si>
    <t>Short Difficult Night</t>
  </si>
  <si>
    <t>Long Easy Night</t>
  </si>
  <si>
    <t>Long Difficult Night</t>
  </si>
  <si>
    <t>Final Farsta</t>
  </si>
  <si>
    <t>SF</t>
  </si>
  <si>
    <t>SE</t>
  </si>
  <si>
    <t>SD</t>
  </si>
  <si>
    <t>LE</t>
  </si>
  <si>
    <t>LD</t>
  </si>
  <si>
    <t>ST</t>
  </si>
  <si>
    <t>LT</t>
  </si>
  <si>
    <t>SEN</t>
  </si>
  <si>
    <t>SDN</t>
  </si>
  <si>
    <t>LEN</t>
  </si>
  <si>
    <t>LDN</t>
  </si>
  <si>
    <t>FF</t>
  </si>
  <si>
    <t>Min h</t>
  </si>
  <si>
    <t>Max h</t>
  </si>
  <si>
    <t>A</t>
  </si>
  <si>
    <t>Ehrl, Lionel</t>
  </si>
  <si>
    <t>B</t>
  </si>
  <si>
    <t>Lexen, Gert</t>
  </si>
  <si>
    <t>C</t>
  </si>
  <si>
    <t>Baath, Veikko</t>
  </si>
  <si>
    <t>D</t>
  </si>
  <si>
    <t>E</t>
  </si>
  <si>
    <t>Lorenz-Baath, Katrin</t>
  </si>
  <si>
    <t>F</t>
  </si>
  <si>
    <t>EL</t>
  </si>
  <si>
    <t>LG</t>
  </si>
  <si>
    <t>BV</t>
  </si>
  <si>
    <t>#</t>
  </si>
  <si>
    <t>Type</t>
  </si>
  <si>
    <t>Läufer</t>
  </si>
  <si>
    <t>Bahn</t>
  </si>
  <si>
    <t>Schwierigkeit</t>
  </si>
  <si>
    <t>Differenz</t>
  </si>
  <si>
    <t>Start</t>
  </si>
  <si>
    <t>Laufzeit</t>
  </si>
  <si>
    <t>Faktor</t>
  </si>
  <si>
    <t>Startzeit</t>
  </si>
  <si>
    <t>Lauf</t>
  </si>
  <si>
    <t>Dämmerung</t>
  </si>
  <si>
    <t>Pause</t>
  </si>
  <si>
    <t>Km</t>
  </si>
  <si>
    <t>Hm</t>
  </si>
  <si>
    <t>ClimbFaktor</t>
  </si>
  <si>
    <t>Run</t>
  </si>
  <si>
    <t>LKm</t>
  </si>
  <si>
    <t>Müde</t>
  </si>
  <si>
    <t>Total</t>
  </si>
  <si>
    <t>BahnKz</t>
  </si>
  <si>
    <t>Kz</t>
  </si>
  <si>
    <t>Faktoren</t>
  </si>
  <si>
    <t>Normiert</t>
  </si>
  <si>
    <t>Runs</t>
  </si>
  <si>
    <t>BK</t>
  </si>
  <si>
    <t>used</t>
  </si>
  <si>
    <t>Lmax</t>
  </si>
  <si>
    <t>Lmin</t>
  </si>
  <si>
    <t>SJ</t>
  </si>
  <si>
    <t>Uhrzeit</t>
  </si>
  <si>
    <t>Dauer</t>
  </si>
  <si>
    <t>Licht-Faktor</t>
  </si>
  <si>
    <t>Historical 2009</t>
  </si>
  <si>
    <t>Sollzeiten ohne Faktoren</t>
  </si>
  <si>
    <t>Zeit-Parameter</t>
  </si>
  <si>
    <t>Leistungskilometer-Faktor</t>
  </si>
  <si>
    <t>Bahnen-Faktor</t>
  </si>
  <si>
    <t>Ermüdungsgeschw.</t>
  </si>
  <si>
    <t>Ermüdungs-Faktor</t>
  </si>
  <si>
    <t>Position</t>
  </si>
  <si>
    <t>Kürzel</t>
  </si>
  <si>
    <t>Name</t>
  </si>
  <si>
    <t>Teilnehmer</t>
  </si>
  <si>
    <t>NumPos</t>
  </si>
  <si>
    <t>Pace</t>
  </si>
  <si>
    <t>N Pace</t>
  </si>
  <si>
    <t>Licht</t>
  </si>
  <si>
    <t>ExponentBasis</t>
  </si>
  <si>
    <t>Dämmerungszeit</t>
  </si>
  <si>
    <t>Zielzeit</t>
  </si>
  <si>
    <t>Bahn-Läufer</t>
  </si>
  <si>
    <t>Pace min / LKm</t>
  </si>
  <si>
    <t>SOLL</t>
  </si>
  <si>
    <t>IST</t>
  </si>
  <si>
    <t>Zeit</t>
  </si>
  <si>
    <t>Pace-Diff.</t>
  </si>
  <si>
    <t>Ist</t>
  </si>
  <si>
    <t>Basis</t>
  </si>
  <si>
    <t>Ermüdungsfaktor = (24h + (Lauf # - 1) * Erm_Geschw * ExponentBasis^(Lauf # - 1) ) / 24h</t>
  </si>
  <si>
    <t>LK</t>
  </si>
  <si>
    <t>Lexen, Dieter</t>
  </si>
  <si>
    <t>Historical 2007</t>
  </si>
  <si>
    <t>Ritter, Sigrun</t>
  </si>
  <si>
    <t>RS</t>
  </si>
  <si>
    <t>LE1</t>
  </si>
  <si>
    <t>SE1</t>
  </si>
  <si>
    <t>SE2</t>
  </si>
  <si>
    <t>SE3</t>
  </si>
  <si>
    <t>SE4</t>
  </si>
  <si>
    <t>Typ</t>
  </si>
  <si>
    <t>SD1</t>
  </si>
  <si>
    <t>SD2</t>
  </si>
  <si>
    <t>SD3</t>
  </si>
  <si>
    <t>SD4</t>
  </si>
  <si>
    <t>LE2</t>
  </si>
  <si>
    <t>LE3</t>
  </si>
  <si>
    <t>LE4</t>
  </si>
  <si>
    <t>LD1</t>
  </si>
  <si>
    <t>LD2</t>
  </si>
  <si>
    <t>LD3</t>
  </si>
  <si>
    <t>SEN1</t>
  </si>
  <si>
    <t>SEN2</t>
  </si>
  <si>
    <t>SEN3</t>
  </si>
  <si>
    <t>SEN4</t>
  </si>
  <si>
    <t>SEN5</t>
  </si>
  <si>
    <t>SDN1</t>
  </si>
  <si>
    <t>SDN2</t>
  </si>
  <si>
    <t>SDN3</t>
  </si>
  <si>
    <t>LEN1</t>
  </si>
  <si>
    <t>LEN2</t>
  </si>
  <si>
    <t>LEN3</t>
  </si>
  <si>
    <t>LDN1</t>
  </si>
  <si>
    <t>LDN2</t>
  </si>
  <si>
    <t>LDN3</t>
  </si>
  <si>
    <t>FF1</t>
  </si>
  <si>
    <t>FF2</t>
  </si>
  <si>
    <t>FF3</t>
  </si>
  <si>
    <t>FF4</t>
  </si>
  <si>
    <t>FF5</t>
  </si>
  <si>
    <t>FF6</t>
  </si>
  <si>
    <t>Lkm</t>
  </si>
  <si>
    <t xml:space="preserve">Long Easy </t>
  </si>
  <si>
    <t>SF1</t>
  </si>
  <si>
    <t>ST1</t>
  </si>
  <si>
    <t>LT1</t>
  </si>
  <si>
    <t>Fixed Parameters</t>
  </si>
  <si>
    <t>Nach Zielschluss</t>
  </si>
  <si>
    <t>Pos</t>
  </si>
  <si>
    <t xml:space="preserve"> - too late</t>
  </si>
  <si>
    <t>Sollzeit</t>
  </si>
  <si>
    <t>Lauf-Diff</t>
  </si>
  <si>
    <t>Gesamt-Diff</t>
  </si>
  <si>
    <t>SOLL-Zeiten</t>
  </si>
  <si>
    <t>OK</t>
  </si>
  <si>
    <t>XXX</t>
  </si>
  <si>
    <t>Wechsel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</si>
</sst>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[h]:mm:ss;@"/>
    <numFmt numFmtId="166" formatCode="[m]:ss;@"/>
    <numFmt numFmtId="167" formatCode="[$-F400]h:mm:ss\ AM/PM"/>
    <numFmt numFmtId="168" formatCode="h:mm:ss;@"/>
    <numFmt numFmtId="169" formatCode="[m]:ss;\-;\-;@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/>
    <xf numFmtId="21" fontId="3" fillId="2" borderId="1" xfId="0" applyNumberFormat="1" applyFont="1" applyFill="1" applyBorder="1" applyAlignment="1">
      <alignment wrapText="1"/>
    </xf>
    <xf numFmtId="0" fontId="0" fillId="0" borderId="1" xfId="0" applyFill="1" applyBorder="1"/>
    <xf numFmtId="2" fontId="0" fillId="2" borderId="1" xfId="0" applyNumberFormat="1" applyFill="1" applyBorder="1"/>
    <xf numFmtId="0" fontId="0" fillId="0" borderId="0" xfId="0" applyBorder="1"/>
    <xf numFmtId="0" fontId="2" fillId="0" borderId="0" xfId="0" applyFont="1"/>
    <xf numFmtId="0" fontId="2" fillId="0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2" fillId="2" borderId="8" xfId="0" applyFont="1" applyFill="1" applyBorder="1"/>
    <xf numFmtId="0" fontId="0" fillId="0" borderId="9" xfId="0" applyBorder="1"/>
    <xf numFmtId="21" fontId="0" fillId="2" borderId="8" xfId="0" applyNumberForma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8" xfId="0" applyFont="1" applyFill="1" applyBorder="1"/>
    <xf numFmtId="0" fontId="0" fillId="0" borderId="11" xfId="0" applyNumberFormat="1" applyBorder="1"/>
    <xf numFmtId="0" fontId="0" fillId="0" borderId="12" xfId="0" applyNumberFormat="1" applyBorder="1"/>
    <xf numFmtId="0" fontId="2" fillId="0" borderId="10" xfId="0" applyFont="1" applyFill="1" applyBorder="1"/>
    <xf numFmtId="21" fontId="3" fillId="0" borderId="1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" xfId="1" applyNumberFormat="1" applyFont="1" applyBorder="1"/>
    <xf numFmtId="0" fontId="3" fillId="0" borderId="1" xfId="1" applyNumberFormat="1" applyFont="1" applyBorder="1"/>
    <xf numFmtId="0" fontId="3" fillId="0" borderId="0" xfId="0" applyFont="1" applyBorder="1" applyAlignment="1"/>
    <xf numFmtId="0" fontId="3" fillId="0" borderId="13" xfId="0" applyFont="1" applyBorder="1" applyAlignment="1"/>
    <xf numFmtId="0" fontId="2" fillId="0" borderId="13" xfId="0" applyFont="1" applyBorder="1" applyAlignment="1">
      <alignment horizontal="center"/>
    </xf>
    <xf numFmtId="2" fontId="0" fillId="6" borderId="1" xfId="0" applyNumberFormat="1" applyFill="1" applyBorder="1"/>
    <xf numFmtId="2" fontId="0" fillId="6" borderId="14" xfId="0" applyNumberFormat="1" applyFill="1" applyBorder="1"/>
    <xf numFmtId="21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0" fillId="8" borderId="1" xfId="0" applyFill="1" applyBorder="1"/>
    <xf numFmtId="21" fontId="3" fillId="8" borderId="1" xfId="0" applyNumberFormat="1" applyFont="1" applyFill="1" applyBorder="1" applyAlignment="1">
      <alignment wrapText="1"/>
    </xf>
    <xf numFmtId="0" fontId="0" fillId="8" borderId="14" xfId="0" applyFill="1" applyBorder="1"/>
    <xf numFmtId="165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65" fontId="0" fillId="2" borderId="1" xfId="0" applyNumberFormat="1" applyFill="1" applyBorder="1" applyAlignment="1">
      <alignment wrapText="1"/>
    </xf>
    <xf numFmtId="166" fontId="0" fillId="8" borderId="1" xfId="0" applyNumberFormat="1" applyFill="1" applyBorder="1" applyAlignment="1">
      <alignment wrapText="1"/>
    </xf>
    <xf numFmtId="0" fontId="2" fillId="2" borderId="0" xfId="0" applyFont="1" applyFill="1"/>
    <xf numFmtId="0" fontId="0" fillId="9" borderId="0" xfId="0" applyFill="1"/>
    <xf numFmtId="0" fontId="5" fillId="9" borderId="0" xfId="0" applyFont="1" applyFill="1"/>
    <xf numFmtId="165" fontId="2" fillId="2" borderId="0" xfId="0" applyNumberFormat="1" applyFon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 applyAlignment="1">
      <alignment horizontal="center"/>
    </xf>
    <xf numFmtId="164" fontId="0" fillId="8" borderId="1" xfId="0" applyNumberFormat="1" applyFill="1" applyBorder="1"/>
    <xf numFmtId="0" fontId="2" fillId="0" borderId="15" xfId="0" applyFont="1" applyBorder="1" applyAlignment="1">
      <alignment vertical="center"/>
    </xf>
    <xf numFmtId="0" fontId="3" fillId="8" borderId="1" xfId="0" applyFont="1" applyFill="1" applyBorder="1" applyAlignment="1">
      <alignment horizontal="center" wrapText="1"/>
    </xf>
    <xf numFmtId="2" fontId="0" fillId="8" borderId="1" xfId="1" applyNumberFormat="1" applyFont="1" applyFill="1" applyBorder="1"/>
    <xf numFmtId="2" fontId="0" fillId="8" borderId="14" xfId="1" applyNumberFormat="1" applyFont="1" applyFill="1" applyBorder="1"/>
    <xf numFmtId="2" fontId="3" fillId="8" borderId="1" xfId="1" applyNumberFormat="1" applyFont="1" applyFill="1" applyBorder="1"/>
    <xf numFmtId="2" fontId="3" fillId="8" borderId="14" xfId="1" applyNumberFormat="1" applyFont="1" applyFill="1" applyBorder="1"/>
    <xf numFmtId="0" fontId="3" fillId="8" borderId="1" xfId="0" applyFont="1" applyFill="1" applyBorder="1"/>
    <xf numFmtId="0" fontId="0" fillId="6" borderId="0" xfId="0" applyFill="1"/>
    <xf numFmtId="165" fontId="0" fillId="6" borderId="0" xfId="0" applyNumberFormat="1" applyFill="1"/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9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7" borderId="1" xfId="0" quotePrefix="1" applyFont="1" applyFill="1" applyBorder="1" applyAlignment="1">
      <alignment vertical="center"/>
    </xf>
    <xf numFmtId="46" fontId="8" fillId="7" borderId="1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21" fontId="1" fillId="7" borderId="1" xfId="0" applyNumberFormat="1" applyFont="1" applyFill="1" applyBorder="1" applyAlignment="1">
      <alignment vertical="center"/>
    </xf>
    <xf numFmtId="1" fontId="1" fillId="7" borderId="1" xfId="0" applyNumberFormat="1" applyFont="1" applyFill="1" applyBorder="1" applyAlignment="1">
      <alignment vertical="center"/>
    </xf>
    <xf numFmtId="166" fontId="1" fillId="7" borderId="1" xfId="0" applyNumberFormat="1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1" fontId="8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vertical="center"/>
    </xf>
    <xf numFmtId="169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4"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theme="5" tint="0.3999450666829432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E8CF6"/>
        </patternFill>
      </fill>
    </dxf>
    <dxf>
      <fill>
        <patternFill>
          <bgColor rgb="FFFE8CF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99FF99"/>
      <color rgb="FFFE8C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30183727034119E-2"/>
          <c:y val="2.8252405949256341E-2"/>
          <c:w val="0.7987471566054243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Parameters!$D$13</c:f>
              <c:strCache>
                <c:ptCount val="1"/>
                <c:pt idx="0">
                  <c:v>EL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Parameters!$D$14:$D$25</c:f>
              <c:numCache>
                <c:formatCode>0.00</c:formatCode>
                <c:ptCount val="12"/>
                <c:pt idx="0">
                  <c:v>0.95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  <c:pt idx="4">
                  <c:v>1.05</c:v>
                </c:pt>
                <c:pt idx="5">
                  <c:v>0.8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1.05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Parameters!$E$13</c:f>
              <c:strCache>
                <c:ptCount val="1"/>
                <c:pt idx="0">
                  <c:v>BV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Parameters!$E$14:$E$25</c:f>
              <c:numCache>
                <c:formatCode>0.00</c:formatCode>
                <c:ptCount val="12"/>
                <c:pt idx="0">
                  <c:v>1</c:v>
                </c:pt>
                <c:pt idx="1">
                  <c:v>0.8</c:v>
                </c:pt>
                <c:pt idx="2">
                  <c:v>0.95</c:v>
                </c:pt>
                <c:pt idx="3">
                  <c:v>1</c:v>
                </c:pt>
                <c:pt idx="4">
                  <c:v>1.1000000000000001</c:v>
                </c:pt>
                <c:pt idx="5">
                  <c:v>0.85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0.95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Parameters!$F$13</c:f>
              <c:strCache>
                <c:ptCount val="1"/>
                <c:pt idx="0">
                  <c:v>LG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Parameters!$F$14:$F$25</c:f>
              <c:numCache>
                <c:formatCode>0.00</c:formatCode>
                <c:ptCount val="12"/>
                <c:pt idx="0">
                  <c:v>1</c:v>
                </c:pt>
                <c:pt idx="1">
                  <c:v>0.85</c:v>
                </c:pt>
                <c:pt idx="2">
                  <c:v>0.95</c:v>
                </c:pt>
                <c:pt idx="3">
                  <c:v>1</c:v>
                </c:pt>
                <c:pt idx="4">
                  <c:v>1.1000000000000001</c:v>
                </c:pt>
                <c:pt idx="5">
                  <c:v>0.85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Parameters!$G$13</c:f>
              <c:strCache>
                <c:ptCount val="1"/>
                <c:pt idx="0">
                  <c:v>LK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Parameters!$G$14:$G$25</c:f>
              <c:numCache>
                <c:formatCode>0.00</c:formatCode>
                <c:ptCount val="12"/>
                <c:pt idx="0">
                  <c:v>1</c:v>
                </c:pt>
                <c:pt idx="1">
                  <c:v>0.85</c:v>
                </c:pt>
                <c:pt idx="2">
                  <c:v>0.95</c:v>
                </c:pt>
                <c:pt idx="3">
                  <c:v>1.05</c:v>
                </c:pt>
                <c:pt idx="4">
                  <c:v>1.1499999999999999</c:v>
                </c:pt>
                <c:pt idx="5">
                  <c:v>0.9</c:v>
                </c:pt>
                <c:pt idx="6">
                  <c:v>0.95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Parameters!$H$13</c:f>
              <c:strCache>
                <c:ptCount val="1"/>
                <c:pt idx="0">
                  <c:v>LD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Parameters!$H$14:$H$25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0.98</c:v>
                </c:pt>
                <c:pt idx="3">
                  <c:v>1.05</c:v>
                </c:pt>
                <c:pt idx="4">
                  <c:v>1.1499999999999999</c:v>
                </c:pt>
                <c:pt idx="5">
                  <c:v>0.85</c:v>
                </c:pt>
                <c:pt idx="6">
                  <c:v>0.95</c:v>
                </c:pt>
                <c:pt idx="7">
                  <c:v>0.9</c:v>
                </c:pt>
                <c:pt idx="8">
                  <c:v>1.1000000000000001</c:v>
                </c:pt>
                <c:pt idx="9">
                  <c:v>1.05</c:v>
                </c:pt>
                <c:pt idx="10">
                  <c:v>1.08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Parameters!$I$13</c:f>
              <c:strCache>
                <c:ptCount val="1"/>
                <c:pt idx="0">
                  <c:v>RS</c:v>
                </c:pt>
              </c:strCache>
            </c:strRef>
          </c:tx>
          <c:cat>
            <c:strRef>
              <c:f>Parameters!$B$14:$B$25</c:f>
              <c:strCache>
                <c:ptCount val="12"/>
                <c:pt idx="0">
                  <c:v>SF</c:v>
                </c:pt>
                <c:pt idx="1">
                  <c:v>SE</c:v>
                </c:pt>
                <c:pt idx="2">
                  <c:v>SD</c:v>
                </c:pt>
                <c:pt idx="3">
                  <c:v>LE</c:v>
                </c:pt>
                <c:pt idx="4">
                  <c:v>LD</c:v>
                </c:pt>
                <c:pt idx="5">
                  <c:v>ST</c:v>
                </c:pt>
                <c:pt idx="6">
                  <c:v>LT</c:v>
                </c:pt>
                <c:pt idx="7">
                  <c:v>SEN</c:v>
                </c:pt>
                <c:pt idx="8">
                  <c:v>SDN</c:v>
                </c:pt>
                <c:pt idx="9">
                  <c:v>LEN</c:v>
                </c:pt>
                <c:pt idx="10">
                  <c:v>LDN</c:v>
                </c:pt>
                <c:pt idx="11">
                  <c:v>FF</c:v>
                </c:pt>
              </c:strCache>
            </c:strRef>
          </c:cat>
          <c:val>
            <c:numRef>
              <c:f>Parameters!$I$14:$I$25</c:f>
              <c:numCache>
                <c:formatCode>0.00</c:formatCode>
                <c:ptCount val="12"/>
                <c:pt idx="0">
                  <c:v>1</c:v>
                </c:pt>
                <c:pt idx="1">
                  <c:v>0.9</c:v>
                </c:pt>
                <c:pt idx="2">
                  <c:v>1.05</c:v>
                </c:pt>
                <c:pt idx="3">
                  <c:v>1.2</c:v>
                </c:pt>
                <c:pt idx="4">
                  <c:v>1.3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1.25</c:v>
                </c:pt>
                <c:pt idx="10">
                  <c:v>1.35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45632"/>
        <c:axId val="178729344"/>
      </c:lineChart>
      <c:catAx>
        <c:axId val="17864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29344"/>
        <c:crosses val="autoZero"/>
        <c:auto val="1"/>
        <c:lblAlgn val="ctr"/>
        <c:lblOffset val="100"/>
        <c:noMultiLvlLbl val="0"/>
      </c:catAx>
      <c:valAx>
        <c:axId val="178729344"/>
        <c:scaling>
          <c:orientation val="minMax"/>
          <c:max val="1.4"/>
          <c:min val="0.70000000000000007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78645632"/>
        <c:crosses val="autoZero"/>
        <c:crossBetween val="between"/>
        <c:majorUnit val="0.1"/>
        <c:min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9213413453684638E-2"/>
          <c:w val="0.76223359580052508"/>
          <c:h val="0.80717782375734437"/>
        </c:manualLayout>
      </c:layout>
      <c:lineChart>
        <c:grouping val="standard"/>
        <c:varyColors val="0"/>
        <c:ser>
          <c:idx val="1"/>
          <c:order val="0"/>
          <c:tx>
            <c:strRef>
              <c:f>Parameters!$D$55</c:f>
              <c:strCache>
                <c:ptCount val="1"/>
                <c:pt idx="0">
                  <c:v>EL</c:v>
                </c:pt>
              </c:strCache>
            </c:strRef>
          </c:tx>
          <c:val>
            <c:numRef>
              <c:f>Parameters!$D$56:$D$62</c:f>
              <c:numCache>
                <c:formatCode>0.00</c:formatCode>
                <c:ptCount val="7"/>
                <c:pt idx="0">
                  <c:v>1</c:v>
                </c:pt>
                <c:pt idx="1">
                  <c:v>1.0276033333333332</c:v>
                </c:pt>
                <c:pt idx="2">
                  <c:v>1.0502380666666666</c:v>
                </c:pt>
                <c:pt idx="3">
                  <c:v>1.0685749610000002</c:v>
                </c:pt>
                <c:pt idx="4">
                  <c:v>1.0832042860133333</c:v>
                </c:pt>
                <c:pt idx="5">
                  <c:v>1.0946448753401667</c:v>
                </c:pt>
                <c:pt idx="6">
                  <c:v>1.103352203871462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Parameters!$E$55</c:f>
              <c:strCache>
                <c:ptCount val="1"/>
                <c:pt idx="0">
                  <c:v>BV</c:v>
                </c:pt>
              </c:strCache>
            </c:strRef>
          </c:tx>
          <c:val>
            <c:numRef>
              <c:f>Parameters!$E$56:$E$62</c:f>
              <c:numCache>
                <c:formatCode>0.00</c:formatCode>
                <c:ptCount val="7"/>
                <c:pt idx="0">
                  <c:v>1</c:v>
                </c:pt>
                <c:pt idx="1">
                  <c:v>1.0299111249999999</c:v>
                </c:pt>
                <c:pt idx="2">
                  <c:v>1.0556346925</c:v>
                </c:pt>
                <c:pt idx="3">
                  <c:v>1.0776103960374999</c:v>
                </c:pt>
                <c:pt idx="4">
                  <c:v>1.0962368910865001</c:v>
                </c:pt>
                <c:pt idx="5">
                  <c:v>1.1118753858880563</c:v>
                </c:pt>
                <c:pt idx="6">
                  <c:v>1.1248529306510708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Parameters!$F$55</c:f>
              <c:strCache>
                <c:ptCount val="1"/>
                <c:pt idx="0">
                  <c:v>LG</c:v>
                </c:pt>
              </c:strCache>
            </c:strRef>
          </c:tx>
          <c:val>
            <c:numRef>
              <c:f>Parameters!$F$56:$F$62</c:f>
              <c:numCache>
                <c:formatCode>0.00</c:formatCode>
                <c:ptCount val="7"/>
                <c:pt idx="0">
                  <c:v>1</c:v>
                </c:pt>
                <c:pt idx="1">
                  <c:v>1.0296239999999999</c:v>
                </c:pt>
                <c:pt idx="2">
                  <c:v>1.0545081599999999</c:v>
                </c:pt>
                <c:pt idx="3">
                  <c:v>1.0752212608</c:v>
                </c:pt>
                <c:pt idx="4">
                  <c:v>1.092271413248</c:v>
                </c:pt>
                <c:pt idx="5">
                  <c:v>1.1061121252352</c:v>
                </c:pt>
                <c:pt idx="6">
                  <c:v>1.1171477862596608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Parameters!$G$55</c:f>
              <c:strCache>
                <c:ptCount val="1"/>
                <c:pt idx="0">
                  <c:v>LK</c:v>
                </c:pt>
              </c:strCache>
            </c:strRef>
          </c:tx>
          <c:val>
            <c:numRef>
              <c:f>Parameters!$G$56:$G$62</c:f>
              <c:numCache>
                <c:formatCode>0.00</c:formatCode>
                <c:ptCount val="7"/>
                <c:pt idx="0">
                  <c:v>1</c:v>
                </c:pt>
                <c:pt idx="1">
                  <c:v>1.0306318749999999</c:v>
                </c:pt>
                <c:pt idx="2">
                  <c:v>1.0569752875</c:v>
                </c:pt>
                <c:pt idx="3">
                  <c:v>1.0794805260625</c:v>
                </c:pt>
                <c:pt idx="4">
                  <c:v>1.0985558523175001</c:v>
                </c:pt>
                <c:pt idx="5">
                  <c:v>1.1145711783190937</c:v>
                </c:pt>
                <c:pt idx="6">
                  <c:v>1.1278614350041087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Parameters!$H$55</c:f>
              <c:strCache>
                <c:ptCount val="1"/>
                <c:pt idx="0">
                  <c:v>LD</c:v>
                </c:pt>
              </c:strCache>
            </c:strRef>
          </c:tx>
          <c:val>
            <c:numRef>
              <c:f>Parameters!$H$56:$H$62</c:f>
              <c:numCache>
                <c:formatCode>0.00</c:formatCode>
                <c:ptCount val="7"/>
                <c:pt idx="0">
                  <c:v>1</c:v>
                </c:pt>
                <c:pt idx="1">
                  <c:v>1.0317130000000001</c:v>
                </c:pt>
                <c:pt idx="2">
                  <c:v>1.05898618</c:v>
                </c:pt>
                <c:pt idx="3">
                  <c:v>1.0822857211000001</c:v>
                </c:pt>
                <c:pt idx="4">
                  <c:v>1.102034294164</c:v>
                </c:pt>
                <c:pt idx="5">
                  <c:v>1.1186148669656502</c:v>
                </c:pt>
                <c:pt idx="6">
                  <c:v>1.1323741915336656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Parameters!$I$55</c:f>
              <c:strCache>
                <c:ptCount val="1"/>
                <c:pt idx="0">
                  <c:v>RS</c:v>
                </c:pt>
              </c:strCache>
            </c:strRef>
          </c:tx>
          <c:val>
            <c:numRef>
              <c:f>Parameters!$I$56:$I$62</c:f>
              <c:numCache>
                <c:formatCode>0.00</c:formatCode>
                <c:ptCount val="7"/>
                <c:pt idx="0">
                  <c:v>1</c:v>
                </c:pt>
                <c:pt idx="1">
                  <c:v>1.03384375</c:v>
                </c:pt>
                <c:pt idx="2">
                  <c:v>1.0643031250000001</c:v>
                </c:pt>
                <c:pt idx="3">
                  <c:v>1.0916319531250001</c:v>
                </c:pt>
                <c:pt idx="4">
                  <c:v>1.116067140625</c:v>
                </c:pt>
                <c:pt idx="5">
                  <c:v>1.1378297294921875</c:v>
                </c:pt>
                <c:pt idx="6">
                  <c:v>1.1571258916210938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9920"/>
        <c:axId val="178771456"/>
      </c:lineChart>
      <c:catAx>
        <c:axId val="17876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78771456"/>
        <c:crosses val="autoZero"/>
        <c:auto val="1"/>
        <c:lblAlgn val="ctr"/>
        <c:lblOffset val="100"/>
        <c:noMultiLvlLbl val="0"/>
      </c:catAx>
      <c:valAx>
        <c:axId val="178771456"/>
        <c:scaling>
          <c:orientation val="minMax"/>
          <c:max val="1.2"/>
          <c:min val="1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178769920"/>
        <c:crosses val="autoZero"/>
        <c:crossBetween val="between"/>
        <c:majorUnit val="5.000000000000001E-2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11</xdr:row>
      <xdr:rowOff>104774</xdr:rowOff>
    </xdr:from>
    <xdr:to>
      <xdr:col>17</xdr:col>
      <xdr:colOff>114300</xdr:colOff>
      <xdr:row>25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49</xdr:row>
      <xdr:rowOff>38099</xdr:rowOff>
    </xdr:from>
    <xdr:to>
      <xdr:col>17</xdr:col>
      <xdr:colOff>123825</xdr:colOff>
      <xdr:row>62</xdr:row>
      <xdr:rowOff>142875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8"/>
  <sheetViews>
    <sheetView workbookViewId="0">
      <selection activeCell="H58" sqref="H58"/>
    </sheetView>
  </sheetViews>
  <sheetFormatPr baseColWidth="10" defaultColWidth="9.140625" defaultRowHeight="12.75"/>
  <cols>
    <col min="1" max="1" width="1.85546875" customWidth="1"/>
    <col min="2" max="2" width="18.85546875" bestFit="1" customWidth="1"/>
    <col min="3" max="3" width="10.140625" bestFit="1" customWidth="1"/>
    <col min="4" max="4" width="24.5703125" customWidth="1"/>
    <col min="5" max="5" width="9" bestFit="1" customWidth="1"/>
    <col min="6" max="6" width="6.5703125" bestFit="1" customWidth="1"/>
    <col min="7" max="7" width="5" bestFit="1" customWidth="1"/>
    <col min="8" max="9" width="5.140625" bestFit="1" customWidth="1"/>
  </cols>
  <sheetData>
    <row r="1" spans="2:9" ht="4.5" customHeight="1" thickBot="1"/>
    <row r="2" spans="2:9" ht="26.25">
      <c r="B2" s="141" t="s">
        <v>84</v>
      </c>
      <c r="C2" s="142"/>
      <c r="D2" s="142"/>
      <c r="E2" s="142"/>
      <c r="F2" s="142"/>
      <c r="G2" s="142"/>
      <c r="H2" s="142"/>
      <c r="I2" s="143"/>
    </row>
    <row r="3" spans="2:9">
      <c r="B3" s="16" t="s">
        <v>81</v>
      </c>
      <c r="C3" s="1" t="s">
        <v>85</v>
      </c>
      <c r="D3" s="1" t="s">
        <v>83</v>
      </c>
      <c r="E3" s="1" t="s">
        <v>82</v>
      </c>
      <c r="F3" s="1" t="s">
        <v>86</v>
      </c>
      <c r="G3" s="9"/>
      <c r="H3" s="9"/>
      <c r="I3" s="17"/>
    </row>
    <row r="4" spans="2:9">
      <c r="B4" s="38" t="s">
        <v>28</v>
      </c>
      <c r="C4" s="37">
        <f>CODE(B4)-64</f>
        <v>1</v>
      </c>
      <c r="D4" s="39" t="s">
        <v>29</v>
      </c>
      <c r="E4" s="40" t="s">
        <v>38</v>
      </c>
      <c r="F4" s="57">
        <v>4.8611111111111112E-3</v>
      </c>
      <c r="G4" s="9"/>
      <c r="H4" s="9"/>
      <c r="I4" s="17"/>
    </row>
    <row r="5" spans="2:9">
      <c r="B5" s="38" t="s">
        <v>30</v>
      </c>
      <c r="C5" s="37">
        <f t="shared" ref="C5:C9" si="0">CODE(B5)-64</f>
        <v>2</v>
      </c>
      <c r="D5" s="39" t="s">
        <v>33</v>
      </c>
      <c r="E5" s="40" t="s">
        <v>40</v>
      </c>
      <c r="F5" s="57">
        <v>5.2662037037037035E-3</v>
      </c>
      <c r="G5" s="9"/>
      <c r="H5" s="9"/>
      <c r="I5" s="17"/>
    </row>
    <row r="6" spans="2:9">
      <c r="B6" s="38" t="s">
        <v>32</v>
      </c>
      <c r="C6" s="37">
        <f t="shared" si="0"/>
        <v>3</v>
      </c>
      <c r="D6" s="39" t="s">
        <v>31</v>
      </c>
      <c r="E6" s="40" t="s">
        <v>39</v>
      </c>
      <c r="F6" s="57">
        <v>5.3819444444444453E-3</v>
      </c>
      <c r="G6" s="9"/>
      <c r="H6" s="9"/>
      <c r="I6" s="17"/>
    </row>
    <row r="7" spans="2:9">
      <c r="B7" s="38" t="s">
        <v>34</v>
      </c>
      <c r="C7" s="37">
        <f t="shared" si="0"/>
        <v>4</v>
      </c>
      <c r="D7" s="41" t="s">
        <v>36</v>
      </c>
      <c r="E7" s="66" t="s">
        <v>101</v>
      </c>
      <c r="F7" s="57">
        <v>5.5555555555555558E-3</v>
      </c>
      <c r="G7" s="9"/>
      <c r="H7" s="9"/>
      <c r="I7" s="17"/>
    </row>
    <row r="8" spans="2:9">
      <c r="B8" s="38" t="s">
        <v>35</v>
      </c>
      <c r="C8" s="37">
        <f t="shared" si="0"/>
        <v>5</v>
      </c>
      <c r="D8" s="41" t="s">
        <v>102</v>
      </c>
      <c r="E8" s="66" t="s">
        <v>18</v>
      </c>
      <c r="F8" s="57">
        <v>5.3819444444444453E-3</v>
      </c>
      <c r="G8" s="9"/>
      <c r="H8" s="9"/>
      <c r="I8" s="17"/>
    </row>
    <row r="9" spans="2:9">
      <c r="B9" s="38" t="s">
        <v>37</v>
      </c>
      <c r="C9" s="37">
        <f t="shared" si="0"/>
        <v>6</v>
      </c>
      <c r="D9" s="41" t="s">
        <v>104</v>
      </c>
      <c r="E9" s="66" t="s">
        <v>105</v>
      </c>
      <c r="F9" s="57">
        <v>5.9027777777777776E-3</v>
      </c>
      <c r="G9" s="9"/>
      <c r="H9" s="9"/>
      <c r="I9" s="17"/>
    </row>
    <row r="10" spans="2:9" ht="13.5" thickBot="1">
      <c r="B10" s="19"/>
      <c r="C10" s="20"/>
      <c r="D10" s="20"/>
      <c r="E10" s="20"/>
      <c r="F10" s="20"/>
      <c r="G10" s="20"/>
      <c r="H10" s="20"/>
      <c r="I10" s="21"/>
    </row>
    <row r="11" spans="2:9" ht="4.5" customHeight="1" thickBot="1"/>
    <row r="12" spans="2:9" ht="26.25">
      <c r="B12" s="141" t="s">
        <v>78</v>
      </c>
      <c r="C12" s="142"/>
      <c r="D12" s="142"/>
      <c r="E12" s="142"/>
      <c r="F12" s="142"/>
      <c r="G12" s="142"/>
      <c r="H12" s="142"/>
      <c r="I12" s="143"/>
    </row>
    <row r="13" spans="2:9" s="10" customFormat="1">
      <c r="B13" s="16" t="s">
        <v>44</v>
      </c>
      <c r="C13" s="1" t="s">
        <v>99</v>
      </c>
      <c r="D13" s="27" t="str">
        <f>$E$4</f>
        <v>EL</v>
      </c>
      <c r="E13" s="27" t="str">
        <f>$E$5</f>
        <v>BV</v>
      </c>
      <c r="F13" s="27" t="str">
        <f>$E$6</f>
        <v>LG</v>
      </c>
      <c r="G13" s="27" t="str">
        <f>$E$7</f>
        <v>LK</v>
      </c>
      <c r="H13" s="27" t="str">
        <f>$E$8</f>
        <v>LD</v>
      </c>
      <c r="I13" s="28" t="str">
        <f>$E$9</f>
        <v>RS</v>
      </c>
    </row>
    <row r="14" spans="2:9" ht="12.75" customHeight="1">
      <c r="B14" s="22" t="s">
        <v>14</v>
      </c>
      <c r="C14" s="29">
        <v>1</v>
      </c>
      <c r="D14" s="67">
        <v>0.95</v>
      </c>
      <c r="E14" s="67">
        <v>1</v>
      </c>
      <c r="F14" s="67">
        <v>1</v>
      </c>
      <c r="G14" s="67">
        <v>1</v>
      </c>
      <c r="H14" s="67">
        <v>1</v>
      </c>
      <c r="I14" s="68">
        <v>1</v>
      </c>
    </row>
    <row r="15" spans="2:9" ht="12.75" customHeight="1">
      <c r="B15" s="22" t="s">
        <v>15</v>
      </c>
      <c r="C15" s="29">
        <v>0.9</v>
      </c>
      <c r="D15" s="67">
        <v>0.8</v>
      </c>
      <c r="E15" s="67">
        <v>0.8</v>
      </c>
      <c r="F15" s="67">
        <v>0.85</v>
      </c>
      <c r="G15" s="67">
        <v>0.85</v>
      </c>
      <c r="H15" s="67">
        <v>0.9</v>
      </c>
      <c r="I15" s="68">
        <v>0.9</v>
      </c>
    </row>
    <row r="16" spans="2:9" ht="12.75" customHeight="1">
      <c r="B16" s="22" t="s">
        <v>16</v>
      </c>
      <c r="C16" s="29">
        <v>1</v>
      </c>
      <c r="D16" s="67">
        <v>1</v>
      </c>
      <c r="E16" s="67">
        <v>0.95</v>
      </c>
      <c r="F16" s="67">
        <v>0.95</v>
      </c>
      <c r="G16" s="69">
        <v>0.95</v>
      </c>
      <c r="H16" s="67">
        <v>0.98</v>
      </c>
      <c r="I16" s="68">
        <v>1.05</v>
      </c>
    </row>
    <row r="17" spans="2:9" ht="12.75" customHeight="1">
      <c r="B17" s="22" t="s">
        <v>17</v>
      </c>
      <c r="C17" s="29">
        <v>1</v>
      </c>
      <c r="D17" s="67">
        <v>1</v>
      </c>
      <c r="E17" s="67">
        <v>1</v>
      </c>
      <c r="F17" s="67">
        <v>1</v>
      </c>
      <c r="G17" s="67">
        <v>1.05</v>
      </c>
      <c r="H17" s="69">
        <v>1.05</v>
      </c>
      <c r="I17" s="68">
        <v>1.2</v>
      </c>
    </row>
    <row r="18" spans="2:9" ht="12.75" customHeight="1">
      <c r="B18" s="22" t="s">
        <v>18</v>
      </c>
      <c r="C18" s="29">
        <v>1.05</v>
      </c>
      <c r="D18" s="67">
        <v>1.05</v>
      </c>
      <c r="E18" s="67">
        <v>1.1000000000000001</v>
      </c>
      <c r="F18" s="67">
        <v>1.1000000000000001</v>
      </c>
      <c r="G18" s="69">
        <v>1.1499999999999999</v>
      </c>
      <c r="H18" s="67">
        <v>1.1499999999999999</v>
      </c>
      <c r="I18" s="68">
        <v>1.3</v>
      </c>
    </row>
    <row r="19" spans="2:9" ht="12.75" customHeight="1">
      <c r="B19" s="22" t="s">
        <v>19</v>
      </c>
      <c r="C19" s="29">
        <v>0.9</v>
      </c>
      <c r="D19" s="67">
        <v>0.8</v>
      </c>
      <c r="E19" s="67">
        <v>0.85</v>
      </c>
      <c r="F19" s="67">
        <v>0.85</v>
      </c>
      <c r="G19" s="67">
        <v>0.9</v>
      </c>
      <c r="H19" s="67">
        <v>0.85</v>
      </c>
      <c r="I19" s="68">
        <v>0.9</v>
      </c>
    </row>
    <row r="20" spans="2:9" ht="12.75" customHeight="1">
      <c r="B20" s="22" t="s">
        <v>20</v>
      </c>
      <c r="C20" s="29">
        <v>1</v>
      </c>
      <c r="D20" s="67">
        <v>0.9</v>
      </c>
      <c r="E20" s="67">
        <v>0.9</v>
      </c>
      <c r="F20" s="67">
        <v>0.9</v>
      </c>
      <c r="G20" s="67">
        <v>0.95</v>
      </c>
      <c r="H20" s="67">
        <v>0.95</v>
      </c>
      <c r="I20" s="68">
        <v>1</v>
      </c>
    </row>
    <row r="21" spans="2:9" ht="12.75" customHeight="1">
      <c r="B21" s="22" t="s">
        <v>21</v>
      </c>
      <c r="C21" s="30">
        <v>0.9</v>
      </c>
      <c r="D21" s="69">
        <v>0.9</v>
      </c>
      <c r="E21" s="69">
        <v>0.9</v>
      </c>
      <c r="F21" s="69">
        <v>0.9</v>
      </c>
      <c r="G21" s="69">
        <v>0.9</v>
      </c>
      <c r="H21" s="69">
        <v>0.9</v>
      </c>
      <c r="I21" s="70">
        <v>1.1000000000000001</v>
      </c>
    </row>
    <row r="22" spans="2:9" ht="12.75" customHeight="1">
      <c r="B22" s="22" t="s">
        <v>22</v>
      </c>
      <c r="C22" s="29">
        <v>1</v>
      </c>
      <c r="D22" s="67">
        <v>1</v>
      </c>
      <c r="E22" s="67">
        <v>1</v>
      </c>
      <c r="F22" s="67">
        <v>1</v>
      </c>
      <c r="G22" s="67">
        <v>1</v>
      </c>
      <c r="H22" s="67">
        <v>1.1000000000000001</v>
      </c>
      <c r="I22" s="68">
        <v>1.1000000000000001</v>
      </c>
    </row>
    <row r="23" spans="2:9" ht="12.75" customHeight="1">
      <c r="B23" s="22" t="s">
        <v>23</v>
      </c>
      <c r="C23" s="29">
        <v>1</v>
      </c>
      <c r="D23" s="67">
        <v>1</v>
      </c>
      <c r="E23" s="67">
        <v>0.95</v>
      </c>
      <c r="F23" s="67">
        <v>1</v>
      </c>
      <c r="G23" s="67">
        <v>1</v>
      </c>
      <c r="H23" s="67">
        <v>1.05</v>
      </c>
      <c r="I23" s="68">
        <v>1.25</v>
      </c>
    </row>
    <row r="24" spans="2:9" ht="12.75" customHeight="1">
      <c r="B24" s="22" t="s">
        <v>24</v>
      </c>
      <c r="C24" s="29">
        <v>1.1000000000000001</v>
      </c>
      <c r="D24" s="67">
        <v>1.05</v>
      </c>
      <c r="E24" s="67">
        <v>1.08</v>
      </c>
      <c r="F24" s="67">
        <v>1.08</v>
      </c>
      <c r="G24" s="67">
        <v>1.08</v>
      </c>
      <c r="H24" s="67">
        <v>1.08</v>
      </c>
      <c r="I24" s="68">
        <v>1.35</v>
      </c>
    </row>
    <row r="25" spans="2:9" ht="12.75" customHeight="1">
      <c r="B25" s="22" t="s">
        <v>25</v>
      </c>
      <c r="C25" s="29">
        <v>1</v>
      </c>
      <c r="D25" s="67">
        <v>1</v>
      </c>
      <c r="E25" s="67">
        <v>1</v>
      </c>
      <c r="F25" s="67">
        <v>1</v>
      </c>
      <c r="G25" s="67">
        <v>1</v>
      </c>
      <c r="H25" s="67">
        <v>1</v>
      </c>
      <c r="I25" s="68">
        <v>1</v>
      </c>
    </row>
    <row r="26" spans="2:9" ht="13.5" thickBot="1">
      <c r="B26" s="19"/>
      <c r="C26" s="23"/>
      <c r="D26" s="23"/>
      <c r="E26" s="23"/>
      <c r="F26" s="23"/>
      <c r="G26" s="23"/>
      <c r="H26" s="23"/>
      <c r="I26" s="24"/>
    </row>
    <row r="27" spans="2:9" ht="4.5" customHeight="1" thickBot="1">
      <c r="C27" s="9"/>
    </row>
    <row r="28" spans="2:9" ht="26.25">
      <c r="B28" s="141" t="s">
        <v>77</v>
      </c>
      <c r="C28" s="142"/>
      <c r="D28" s="142"/>
      <c r="E28" s="142"/>
      <c r="F28" s="142"/>
      <c r="G28" s="142"/>
      <c r="H28" s="142"/>
      <c r="I28" s="143"/>
    </row>
    <row r="29" spans="2:9">
      <c r="B29" s="22" t="s">
        <v>56</v>
      </c>
      <c r="C29" s="42">
        <v>7</v>
      </c>
      <c r="D29" s="9"/>
      <c r="E29" s="9"/>
      <c r="F29" s="9"/>
      <c r="G29" s="9"/>
      <c r="H29" s="9"/>
      <c r="I29" s="17"/>
    </row>
    <row r="30" spans="2:9" ht="13.5" thickBot="1">
      <c r="B30" s="19"/>
      <c r="C30" s="20"/>
      <c r="D30" s="20"/>
      <c r="E30" s="20"/>
      <c r="F30" s="20"/>
      <c r="G30" s="20"/>
      <c r="H30" s="20"/>
      <c r="I30" s="21"/>
    </row>
    <row r="31" spans="2:9" ht="4.5" customHeight="1" thickBot="1"/>
    <row r="32" spans="2:9" ht="26.25">
      <c r="B32" s="141" t="s">
        <v>76</v>
      </c>
      <c r="C32" s="142"/>
      <c r="D32" s="142"/>
      <c r="E32" s="142"/>
      <c r="F32" s="142"/>
      <c r="G32" s="142"/>
      <c r="H32" s="142"/>
      <c r="I32" s="143"/>
    </row>
    <row r="33" spans="2:9">
      <c r="B33" s="16" t="s">
        <v>50</v>
      </c>
      <c r="C33" s="6">
        <v>1.375</v>
      </c>
      <c r="D33" s="9"/>
      <c r="E33" s="9"/>
      <c r="F33" s="9"/>
      <c r="G33" s="9"/>
      <c r="H33" s="9"/>
      <c r="I33" s="17"/>
    </row>
    <row r="34" spans="2:9">
      <c r="B34" s="16" t="s">
        <v>52</v>
      </c>
      <c r="C34" s="43">
        <v>0.4375</v>
      </c>
      <c r="D34" s="9"/>
      <c r="E34" s="9"/>
      <c r="F34" s="9"/>
      <c r="G34" s="9"/>
      <c r="H34" s="9"/>
      <c r="I34" s="17"/>
    </row>
    <row r="35" spans="2:9">
      <c r="B35" s="16" t="s">
        <v>1</v>
      </c>
      <c r="C35" s="6">
        <f>C33+C34</f>
        <v>1.8125</v>
      </c>
      <c r="D35" s="9"/>
      <c r="E35" s="9"/>
      <c r="F35" s="9"/>
      <c r="G35" s="9"/>
      <c r="H35" s="9"/>
      <c r="I35" s="17"/>
    </row>
    <row r="36" spans="2:9">
      <c r="B36" s="16" t="s">
        <v>48</v>
      </c>
      <c r="C36" s="6">
        <v>1</v>
      </c>
      <c r="D36" s="9"/>
      <c r="E36" s="9"/>
      <c r="F36" s="9"/>
      <c r="G36" s="9"/>
      <c r="H36" s="9"/>
      <c r="I36" s="17"/>
    </row>
    <row r="37" spans="2:9">
      <c r="B37" s="16" t="s">
        <v>0</v>
      </c>
      <c r="C37" s="6">
        <f>C33+C36</f>
        <v>2.375</v>
      </c>
      <c r="D37" s="9"/>
      <c r="E37" s="9"/>
      <c r="F37" s="9"/>
      <c r="G37" s="9"/>
      <c r="H37" s="9"/>
      <c r="I37" s="17"/>
    </row>
    <row r="38" spans="2:9" ht="13.5" thickBot="1">
      <c r="B38" s="25"/>
      <c r="C38" s="26"/>
      <c r="D38" s="20"/>
      <c r="E38" s="20"/>
      <c r="F38" s="20"/>
      <c r="G38" s="20"/>
      <c r="H38" s="20"/>
      <c r="I38" s="21"/>
    </row>
    <row r="39" spans="2:9" ht="4.5" customHeight="1" thickBot="1"/>
    <row r="40" spans="2:9" ht="26.25">
      <c r="B40" s="141" t="s">
        <v>73</v>
      </c>
      <c r="C40" s="142"/>
      <c r="D40" s="142"/>
      <c r="E40" s="142"/>
      <c r="F40" s="142"/>
      <c r="G40" s="142"/>
      <c r="H40" s="142"/>
      <c r="I40" s="143"/>
    </row>
    <row r="41" spans="2:9">
      <c r="B41" s="16" t="s">
        <v>71</v>
      </c>
      <c r="C41" s="1" t="s">
        <v>48</v>
      </c>
      <c r="D41" s="1" t="s">
        <v>49</v>
      </c>
      <c r="E41" s="1" t="s">
        <v>72</v>
      </c>
      <c r="F41" s="9"/>
      <c r="G41" s="9"/>
      <c r="H41" s="9"/>
      <c r="I41" s="17"/>
    </row>
    <row r="42" spans="2:9">
      <c r="B42" s="18">
        <v>1.375</v>
      </c>
      <c r="C42" s="36">
        <f t="shared" ref="C42:C47" si="1">B42-C$33</f>
        <v>0</v>
      </c>
      <c r="D42" s="42">
        <v>1</v>
      </c>
      <c r="E42" s="36">
        <f>IF(ISNUMBER(B44),B44-B42,1+Startzeit-B42)</f>
        <v>0.47916666666666652</v>
      </c>
      <c r="F42" s="9"/>
      <c r="G42" s="9"/>
      <c r="H42" s="9"/>
      <c r="I42" s="17"/>
    </row>
    <row r="43" spans="2:9">
      <c r="B43" s="18">
        <v>1.8229166666666665</v>
      </c>
      <c r="C43" s="36">
        <f t="shared" si="1"/>
        <v>0.44791666666666652</v>
      </c>
      <c r="D43" s="42">
        <v>1.02</v>
      </c>
      <c r="E43" s="36">
        <f>IF(ISNUMBER(B44),B44-B43,1+Startzeit-B43)</f>
        <v>3.125E-2</v>
      </c>
      <c r="F43" s="9"/>
      <c r="G43" s="9"/>
      <c r="H43" s="9"/>
      <c r="I43" s="17"/>
    </row>
    <row r="44" spans="2:9">
      <c r="B44" s="18">
        <v>1.8541666666666665</v>
      </c>
      <c r="C44" s="36">
        <f t="shared" si="1"/>
        <v>0.47916666666666652</v>
      </c>
      <c r="D44" s="42">
        <v>1.07</v>
      </c>
      <c r="E44" s="36">
        <f>IF(ISNUMBER(B45),B45-B44,1+Startzeit-B44)</f>
        <v>4.1666666666666963E-2</v>
      </c>
      <c r="F44" s="9"/>
      <c r="G44" s="9"/>
      <c r="H44" s="9"/>
      <c r="I44" s="17"/>
    </row>
    <row r="45" spans="2:9">
      <c r="B45" s="18">
        <v>1.8958333333333335</v>
      </c>
      <c r="C45" s="36">
        <f t="shared" si="1"/>
        <v>0.52083333333333348</v>
      </c>
      <c r="D45" s="42">
        <v>1.1200000000000001</v>
      </c>
      <c r="E45" s="36">
        <f>IF(ISNUMBER(B46),B46-B45,1+Startzeit-B45)</f>
        <v>0.29166666666666652</v>
      </c>
      <c r="F45" s="9"/>
      <c r="G45" s="9"/>
      <c r="H45" s="9"/>
      <c r="I45" s="17"/>
    </row>
    <row r="46" spans="2:9">
      <c r="B46" s="18">
        <v>2.1875</v>
      </c>
      <c r="C46" s="36">
        <f t="shared" si="1"/>
        <v>0.8125</v>
      </c>
      <c r="D46" s="42">
        <v>1.06</v>
      </c>
      <c r="E46" s="36">
        <f>IF(ISNUMBER(B47),B47-B46,1+Startzeit-B46)</f>
        <v>4.1666666666666519E-2</v>
      </c>
      <c r="F46" s="9"/>
      <c r="G46" s="9"/>
      <c r="H46" s="9"/>
      <c r="I46" s="17"/>
    </row>
    <row r="47" spans="2:9">
      <c r="B47" s="18">
        <v>2.2291666666666665</v>
      </c>
      <c r="C47" s="36">
        <f t="shared" si="1"/>
        <v>0.85416666666666652</v>
      </c>
      <c r="D47" s="42">
        <v>1</v>
      </c>
      <c r="E47" s="36">
        <f>IF(ISNUMBER(B48),B48-B47,1+Startzeit-B47)</f>
        <v>0.14583333333333348</v>
      </c>
      <c r="F47" s="9"/>
      <c r="G47" s="9"/>
      <c r="H47" s="9"/>
      <c r="I47" s="17"/>
    </row>
    <row r="48" spans="2:9" ht="13.5" thickBot="1">
      <c r="B48" s="19"/>
      <c r="C48" s="20"/>
      <c r="D48" s="20"/>
      <c r="E48" s="20"/>
      <c r="F48" s="20"/>
      <c r="G48" s="20"/>
      <c r="H48" s="20"/>
      <c r="I48" s="21"/>
    </row>
    <row r="49" spans="2:9" ht="4.5" customHeight="1" thickBot="1">
      <c r="B49" s="9"/>
      <c r="C49" s="9"/>
      <c r="D49" s="9"/>
      <c r="E49" s="9"/>
      <c r="F49" s="9"/>
      <c r="G49" s="9"/>
      <c r="H49" s="9"/>
      <c r="I49" s="9"/>
    </row>
    <row r="50" spans="2:9" ht="26.25">
      <c r="B50" s="141" t="s">
        <v>80</v>
      </c>
      <c r="C50" s="142"/>
      <c r="D50" s="142"/>
      <c r="E50" s="142"/>
      <c r="F50" s="142"/>
      <c r="G50" s="142"/>
      <c r="H50" s="142"/>
      <c r="I50" s="143"/>
    </row>
    <row r="51" spans="2:9">
      <c r="B51" s="33"/>
      <c r="C51" s="27" t="s">
        <v>49</v>
      </c>
      <c r="D51" s="27" t="str">
        <f>$E$4</f>
        <v>EL</v>
      </c>
      <c r="E51" s="27" t="str">
        <f>$E$5</f>
        <v>BV</v>
      </c>
      <c r="F51" s="27" t="str">
        <f>$E$6</f>
        <v>LG</v>
      </c>
      <c r="G51" s="27" t="str">
        <f>$E$7</f>
        <v>LK</v>
      </c>
      <c r="H51" s="27" t="str">
        <f>$E$8</f>
        <v>LD</v>
      </c>
      <c r="I51" s="28" t="str">
        <f>$E$9</f>
        <v>RS</v>
      </c>
    </row>
    <row r="52" spans="2:9">
      <c r="B52" s="16" t="s">
        <v>79</v>
      </c>
      <c r="C52" s="7">
        <v>0.9</v>
      </c>
      <c r="D52" s="42">
        <v>0.8</v>
      </c>
      <c r="E52" s="42">
        <v>0.83</v>
      </c>
      <c r="F52" s="42">
        <v>0.84</v>
      </c>
      <c r="G52" s="42">
        <v>0.85</v>
      </c>
      <c r="H52" s="42">
        <v>0.88</v>
      </c>
      <c r="I52" s="44">
        <v>0.9</v>
      </c>
    </row>
    <row r="53" spans="2:9">
      <c r="B53" s="16" t="s">
        <v>89</v>
      </c>
      <c r="C53" s="7">
        <v>0.93</v>
      </c>
      <c r="D53" s="42">
        <v>0.91</v>
      </c>
      <c r="E53" s="71">
        <v>0.93</v>
      </c>
      <c r="F53" s="42">
        <v>0.92</v>
      </c>
      <c r="G53" s="42">
        <v>0.93</v>
      </c>
      <c r="H53" s="42">
        <v>0.93</v>
      </c>
      <c r="I53" s="44">
        <v>0.95</v>
      </c>
    </row>
    <row r="54" spans="2:9">
      <c r="B54" s="32" t="s">
        <v>100</v>
      </c>
      <c r="C54" s="31"/>
      <c r="D54" s="31"/>
      <c r="E54" s="31"/>
      <c r="F54" s="31"/>
      <c r="G54" s="31"/>
      <c r="H54" s="9"/>
      <c r="I54" s="17"/>
    </row>
    <row r="55" spans="2:9">
      <c r="B55" s="16" t="s">
        <v>51</v>
      </c>
      <c r="C55" s="4" t="s">
        <v>59</v>
      </c>
      <c r="D55" s="27" t="str">
        <f>$E$4</f>
        <v>EL</v>
      </c>
      <c r="E55" s="27" t="str">
        <f>$E$5</f>
        <v>BV</v>
      </c>
      <c r="F55" s="27" t="str">
        <f>$E$6</f>
        <v>LG</v>
      </c>
      <c r="G55" s="27" t="str">
        <f>$E$7</f>
        <v>LK</v>
      </c>
      <c r="H55" s="27" t="str">
        <f>$E$8</f>
        <v>LD</v>
      </c>
      <c r="I55" s="28" t="str">
        <f>$E$9</f>
        <v>RS</v>
      </c>
    </row>
    <row r="56" spans="2:9">
      <c r="B56" s="22">
        <v>1</v>
      </c>
      <c r="C56" s="34">
        <f>(24+($B56-1)*C$52*POWER(C$53,$B56))/24</f>
        <v>1</v>
      </c>
      <c r="D56" s="34">
        <f t="shared" ref="D56:I56" si="2">(24+($B56-1)*D$52*POWER(D$53,$B56))/24</f>
        <v>1</v>
      </c>
      <c r="E56" s="34">
        <f t="shared" si="2"/>
        <v>1</v>
      </c>
      <c r="F56" s="34">
        <f t="shared" si="2"/>
        <v>1</v>
      </c>
      <c r="G56" s="34">
        <f t="shared" si="2"/>
        <v>1</v>
      </c>
      <c r="H56" s="34">
        <f t="shared" si="2"/>
        <v>1</v>
      </c>
      <c r="I56" s="35">
        <f t="shared" si="2"/>
        <v>1</v>
      </c>
    </row>
    <row r="57" spans="2:9">
      <c r="B57" s="22">
        <v>2</v>
      </c>
      <c r="C57" s="34">
        <f t="shared" ref="C57:I62" si="3">(24+($B57-1)*C$52*POWER(C$53,$B57))/24</f>
        <v>1.03243375</v>
      </c>
      <c r="D57" s="34">
        <f t="shared" si="3"/>
        <v>1.0276033333333332</v>
      </c>
      <c r="E57" s="34">
        <f t="shared" si="3"/>
        <v>1.0299111249999999</v>
      </c>
      <c r="F57" s="34">
        <f t="shared" si="3"/>
        <v>1.0296239999999999</v>
      </c>
      <c r="G57" s="34">
        <f t="shared" si="3"/>
        <v>1.0306318749999999</v>
      </c>
      <c r="H57" s="34">
        <f t="shared" si="3"/>
        <v>1.0317130000000001</v>
      </c>
      <c r="I57" s="35">
        <f t="shared" si="3"/>
        <v>1.03384375</v>
      </c>
    </row>
    <row r="58" spans="2:9">
      <c r="B58" s="22">
        <v>3</v>
      </c>
      <c r="C58" s="34">
        <f t="shared" si="3"/>
        <v>1.0603267750000001</v>
      </c>
      <c r="D58" s="34">
        <f t="shared" si="3"/>
        <v>1.0502380666666666</v>
      </c>
      <c r="E58" s="34">
        <f t="shared" si="3"/>
        <v>1.0556346925</v>
      </c>
      <c r="F58" s="34">
        <f t="shared" si="3"/>
        <v>1.0545081599999999</v>
      </c>
      <c r="G58" s="34">
        <f t="shared" si="3"/>
        <v>1.0569752875</v>
      </c>
      <c r="H58" s="34">
        <f t="shared" si="3"/>
        <v>1.05898618</v>
      </c>
      <c r="I58" s="35">
        <f t="shared" si="3"/>
        <v>1.0643031250000001</v>
      </c>
    </row>
    <row r="59" spans="2:9">
      <c r="B59" s="22">
        <v>4</v>
      </c>
      <c r="C59" s="34">
        <f t="shared" si="3"/>
        <v>1.084155851125</v>
      </c>
      <c r="D59" s="34">
        <f t="shared" si="3"/>
        <v>1.0685749610000002</v>
      </c>
      <c r="E59" s="34">
        <f t="shared" si="3"/>
        <v>1.0776103960374999</v>
      </c>
      <c r="F59" s="34">
        <f t="shared" si="3"/>
        <v>1.0752212608</v>
      </c>
      <c r="G59" s="34">
        <f t="shared" si="3"/>
        <v>1.0794805260625</v>
      </c>
      <c r="H59" s="34">
        <f t="shared" si="3"/>
        <v>1.0822857211000001</v>
      </c>
      <c r="I59" s="35">
        <f t="shared" si="3"/>
        <v>1.0916319531250001</v>
      </c>
    </row>
    <row r="60" spans="2:9">
      <c r="B60" s="22">
        <v>5</v>
      </c>
      <c r="C60" s="34">
        <f t="shared" si="3"/>
        <v>1.104353255395</v>
      </c>
      <c r="D60" s="34">
        <f t="shared" si="3"/>
        <v>1.0832042860133333</v>
      </c>
      <c r="E60" s="34">
        <f t="shared" si="3"/>
        <v>1.0962368910865001</v>
      </c>
      <c r="F60" s="34">
        <f t="shared" si="3"/>
        <v>1.092271413248</v>
      </c>
      <c r="G60" s="34">
        <f t="shared" si="3"/>
        <v>1.0985558523175001</v>
      </c>
      <c r="H60" s="34">
        <f t="shared" si="3"/>
        <v>1.102034294164</v>
      </c>
      <c r="I60" s="35">
        <f t="shared" si="3"/>
        <v>1.116067140625</v>
      </c>
    </row>
    <row r="61" spans="2:9">
      <c r="B61" s="22">
        <v>6</v>
      </c>
      <c r="C61" s="34">
        <f t="shared" si="3"/>
        <v>1.1213106593966875</v>
      </c>
      <c r="D61" s="34">
        <f t="shared" si="3"/>
        <v>1.0946448753401667</v>
      </c>
      <c r="E61" s="34">
        <f t="shared" si="3"/>
        <v>1.1118753858880563</v>
      </c>
      <c r="F61" s="34">
        <f t="shared" si="3"/>
        <v>1.1061121252352</v>
      </c>
      <c r="G61" s="34">
        <f t="shared" si="3"/>
        <v>1.1145711783190937</v>
      </c>
      <c r="H61" s="34">
        <f t="shared" si="3"/>
        <v>1.1186148669656502</v>
      </c>
      <c r="I61" s="35">
        <f t="shared" si="3"/>
        <v>1.1378297294921875</v>
      </c>
    </row>
    <row r="62" spans="2:9">
      <c r="B62" s="22">
        <v>7</v>
      </c>
      <c r="C62" s="34">
        <f t="shared" si="3"/>
        <v>1.1353826958867033</v>
      </c>
      <c r="D62" s="34">
        <f t="shared" si="3"/>
        <v>1.103352203871462</v>
      </c>
      <c r="E62" s="34">
        <f t="shared" si="3"/>
        <v>1.1248529306510708</v>
      </c>
      <c r="F62" s="34">
        <f t="shared" si="3"/>
        <v>1.1171477862596608</v>
      </c>
      <c r="G62" s="34">
        <f t="shared" si="3"/>
        <v>1.1278614350041087</v>
      </c>
      <c r="H62" s="34">
        <f t="shared" si="3"/>
        <v>1.1323741915336656</v>
      </c>
      <c r="I62" s="35">
        <f t="shared" si="3"/>
        <v>1.1571258916210938</v>
      </c>
    </row>
    <row r="63" spans="2:9" ht="13.5" thickBot="1">
      <c r="B63" s="19"/>
      <c r="C63" s="20"/>
      <c r="D63" s="20"/>
      <c r="E63" s="20"/>
      <c r="F63" s="20"/>
      <c r="G63" s="20"/>
      <c r="H63" s="20"/>
      <c r="I63" s="21"/>
    </row>
    <row r="64" spans="2:9" ht="4.5" customHeight="1" thickBot="1">
      <c r="C64" s="9"/>
    </row>
    <row r="65" spans="2:9" ht="26.25">
      <c r="B65" s="141" t="s">
        <v>147</v>
      </c>
      <c r="C65" s="142"/>
      <c r="D65" s="142"/>
      <c r="E65" s="142"/>
      <c r="F65" s="142"/>
      <c r="G65" s="142"/>
      <c r="H65" s="142"/>
      <c r="I65" s="143"/>
    </row>
    <row r="66" spans="2:9">
      <c r="B66" s="22" t="s">
        <v>148</v>
      </c>
      <c r="C66" s="144" t="s">
        <v>150</v>
      </c>
      <c r="D66" s="144"/>
      <c r="E66" s="144"/>
      <c r="F66" s="144"/>
      <c r="G66" s="144"/>
      <c r="H66" s="144"/>
      <c r="I66" s="17"/>
    </row>
    <row r="67" spans="2:9" ht="13.5" thickBot="1">
      <c r="B67" s="19"/>
      <c r="C67" s="20"/>
      <c r="D67" s="20"/>
      <c r="E67" s="20"/>
      <c r="F67" s="20"/>
      <c r="G67" s="20"/>
      <c r="H67" s="20"/>
      <c r="I67" s="21"/>
    </row>
    <row r="68" spans="2:9" ht="4.5" customHeight="1"/>
  </sheetData>
  <mergeCells count="8">
    <mergeCell ref="B65:I65"/>
    <mergeCell ref="C66:H66"/>
    <mergeCell ref="B2:I2"/>
    <mergeCell ref="B40:I40"/>
    <mergeCell ref="B50:I50"/>
    <mergeCell ref="B28:I28"/>
    <mergeCell ref="B12:I12"/>
    <mergeCell ref="B32:I32"/>
  </mergeCells>
  <phoneticPr fontId="1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89" orientation="portrait" r:id="rId1"/>
  <headerFooter alignWithMargins="0">
    <oddHeader>&amp;C&amp;"Arial,Fett"&amp;24&amp;A</oddHeader>
    <oddFooter>&amp;LErstellt von Valerio Casanova (2009)
Überarbeitet von Veikko Baath&amp;C&amp;D&amp;R&amp;F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zoomScale="120" zoomScaleNormal="120" workbookViewId="0">
      <pane xSplit="9" ySplit="2" topLeftCell="L3" activePane="bottomRight" state="frozen"/>
      <selection pane="topRight" activeCell="J1" sqref="J1"/>
      <selection pane="bottomLeft" activeCell="A3" sqref="A3"/>
      <selection pane="bottomRight" activeCell="A3" sqref="A3:A40"/>
    </sheetView>
  </sheetViews>
  <sheetFormatPr baseColWidth="10" defaultColWidth="9.140625" defaultRowHeight="12.75"/>
  <cols>
    <col min="1" max="1" width="2.7109375" style="49" bestFit="1" customWidth="1"/>
    <col min="2" max="2" width="4" style="49" bestFit="1" customWidth="1"/>
    <col min="3" max="3" width="22" style="50" bestFit="1" customWidth="1"/>
    <col min="4" max="4" width="3.140625" style="49" bestFit="1" customWidth="1"/>
    <col min="5" max="5" width="4.140625" style="49" bestFit="1" customWidth="1"/>
    <col min="6" max="6" width="1.85546875" style="74" customWidth="1"/>
    <col min="7" max="7" width="4.85546875" style="74" bestFit="1" customWidth="1"/>
    <col min="8" max="8" width="7" style="49" bestFit="1" customWidth="1"/>
    <col min="9" max="9" width="4.85546875" style="76" bestFit="1" customWidth="1"/>
    <col min="10" max="10" width="4" style="49" bestFit="1" customWidth="1"/>
    <col min="11" max="11" width="5.42578125" style="51" bestFit="1" customWidth="1"/>
    <col min="12" max="14" width="4.85546875" style="51" bestFit="1" customWidth="1"/>
    <col min="15" max="15" width="7.5703125" style="52" bestFit="1" customWidth="1"/>
    <col min="16" max="16" width="7" style="48" bestFit="1" customWidth="1"/>
    <col min="17" max="17" width="1.85546875" style="139" bestFit="1" customWidth="1"/>
    <col min="18" max="18" width="4.85546875" style="48" customWidth="1"/>
    <col min="19" max="19" width="5.85546875" style="53" bestFit="1" customWidth="1"/>
    <col min="20" max="20" width="7" style="54" bestFit="1" customWidth="1"/>
    <col min="21" max="21" width="7.28515625" style="48" bestFit="1" customWidth="1"/>
    <col min="22" max="22" width="3.140625" style="48" bestFit="1" customWidth="1"/>
    <col min="23" max="23" width="7.7109375" style="74" bestFit="1" customWidth="1"/>
    <col min="24" max="24" width="7.5703125" style="48" bestFit="1" customWidth="1"/>
    <col min="25" max="25" width="10.28515625" style="48" bestFit="1" customWidth="1"/>
    <col min="26" max="26" width="4.85546875" style="51" customWidth="1"/>
    <col min="27" max="27" width="4.42578125" style="55" bestFit="1" customWidth="1"/>
    <col min="28" max="28" width="4.5703125" style="75" bestFit="1" customWidth="1"/>
    <col min="29" max="29" width="4.85546875" style="53" bestFit="1" customWidth="1"/>
    <col min="30" max="30" width="8" style="53" bestFit="1" customWidth="1"/>
    <col min="31" max="31" width="8.28515625" style="53" bestFit="1" customWidth="1"/>
    <col min="32" max="32" width="1.5703125" style="48" customWidth="1"/>
    <col min="33" max="33" width="4.140625" style="47" bestFit="1" customWidth="1"/>
    <col min="34" max="34" width="1.85546875" style="47" bestFit="1" customWidth="1"/>
    <col min="35" max="35" width="5" style="47" bestFit="1" customWidth="1"/>
    <col min="36" max="36" width="8.140625" style="47" bestFit="1" customWidth="1"/>
    <col min="37" max="37" width="7" style="47" bestFit="1" customWidth="1"/>
    <col min="38" max="41" width="4.85546875" style="47" bestFit="1" customWidth="1"/>
    <col min="42" max="42" width="6.28515625" style="47" bestFit="1" customWidth="1"/>
    <col min="43" max="43" width="5" style="47" bestFit="1" customWidth="1"/>
    <col min="44" max="46" width="4.85546875" style="47" bestFit="1" customWidth="1"/>
    <col min="47" max="47" width="2.7109375" style="47" bestFit="1" customWidth="1"/>
    <col min="48" max="16384" width="9.140625" style="47"/>
  </cols>
  <sheetData>
    <row r="1" spans="1:45" s="46" customFormat="1" ht="15" customHeight="1">
      <c r="A1" s="147" t="s">
        <v>43</v>
      </c>
      <c r="B1" s="147"/>
      <c r="C1" s="147"/>
      <c r="D1" s="147"/>
      <c r="E1" s="149" t="s">
        <v>44</v>
      </c>
      <c r="F1" s="150"/>
      <c r="G1" s="150"/>
      <c r="H1" s="150"/>
      <c r="I1" s="151"/>
      <c r="J1" s="77" t="s">
        <v>41</v>
      </c>
      <c r="K1" s="145" t="s">
        <v>63</v>
      </c>
      <c r="L1" s="145"/>
      <c r="M1" s="145"/>
      <c r="N1" s="145"/>
      <c r="O1" s="148" t="s">
        <v>154</v>
      </c>
      <c r="P1" s="148"/>
      <c r="Q1" s="148"/>
      <c r="R1" s="148"/>
      <c r="S1" s="148"/>
      <c r="T1" s="152" t="s">
        <v>95</v>
      </c>
      <c r="U1" s="153"/>
      <c r="V1" s="153"/>
      <c r="W1" s="153"/>
      <c r="X1" s="153"/>
      <c r="Y1" s="153"/>
      <c r="Z1" s="153"/>
      <c r="AA1" s="153"/>
      <c r="AB1" s="154"/>
      <c r="AC1" s="146" t="s">
        <v>93</v>
      </c>
      <c r="AD1" s="146"/>
      <c r="AE1" s="146"/>
      <c r="AF1" s="45"/>
      <c r="AG1" s="65"/>
      <c r="AH1" s="65"/>
      <c r="AI1" s="65"/>
      <c r="AJ1" s="65"/>
      <c r="AK1" s="65"/>
      <c r="AL1" s="65"/>
      <c r="AM1" s="65"/>
      <c r="AN1" s="65"/>
      <c r="AO1" s="65"/>
      <c r="AP1" s="79"/>
      <c r="AQ1" s="79"/>
      <c r="AR1" s="79"/>
      <c r="AS1" s="79"/>
    </row>
    <row r="2" spans="1:45" s="95" customFormat="1" ht="11.25" customHeight="1">
      <c r="A2" s="80" t="s">
        <v>41</v>
      </c>
      <c r="B2" s="80" t="s">
        <v>149</v>
      </c>
      <c r="C2" s="81" t="s">
        <v>43</v>
      </c>
      <c r="D2" s="80" t="s">
        <v>62</v>
      </c>
      <c r="E2" s="80" t="s">
        <v>111</v>
      </c>
      <c r="F2" s="82" t="s">
        <v>41</v>
      </c>
      <c r="G2" s="82" t="s">
        <v>44</v>
      </c>
      <c r="H2" s="80" t="s">
        <v>61</v>
      </c>
      <c r="I2" s="83" t="s">
        <v>142</v>
      </c>
      <c r="J2" s="80" t="s">
        <v>57</v>
      </c>
      <c r="K2" s="84" t="s">
        <v>59</v>
      </c>
      <c r="L2" s="84" t="s">
        <v>44</v>
      </c>
      <c r="M2" s="84" t="s">
        <v>88</v>
      </c>
      <c r="N2" s="84" t="s">
        <v>60</v>
      </c>
      <c r="O2" s="85" t="s">
        <v>50</v>
      </c>
      <c r="P2" s="86" t="s">
        <v>151</v>
      </c>
      <c r="Q2" s="136"/>
      <c r="R2" s="86" t="s">
        <v>86</v>
      </c>
      <c r="S2" s="87" t="s">
        <v>53</v>
      </c>
      <c r="T2" s="88" t="s">
        <v>47</v>
      </c>
      <c r="U2" s="86" t="s">
        <v>48</v>
      </c>
      <c r="V2" s="86" t="s">
        <v>155</v>
      </c>
      <c r="W2" s="82" t="s">
        <v>157</v>
      </c>
      <c r="X2" s="86" t="s">
        <v>152</v>
      </c>
      <c r="Y2" s="86" t="s">
        <v>153</v>
      </c>
      <c r="Z2" s="84" t="s">
        <v>54</v>
      </c>
      <c r="AA2" s="89" t="s">
        <v>55</v>
      </c>
      <c r="AB2" s="90" t="s">
        <v>58</v>
      </c>
      <c r="AC2" s="87" t="s">
        <v>98</v>
      </c>
      <c r="AD2" s="87" t="s">
        <v>64</v>
      </c>
      <c r="AE2" s="87" t="s">
        <v>97</v>
      </c>
      <c r="AF2" s="91"/>
      <c r="AG2" s="161" t="s">
        <v>44</v>
      </c>
      <c r="AH2" s="161"/>
      <c r="AI2" s="92" t="s">
        <v>67</v>
      </c>
      <c r="AJ2" s="92" t="s">
        <v>46</v>
      </c>
      <c r="AK2" s="93">
        <v>1</v>
      </c>
      <c r="AL2" s="93">
        <v>2</v>
      </c>
      <c r="AM2" s="93">
        <v>3</v>
      </c>
      <c r="AN2" s="93">
        <v>4</v>
      </c>
      <c r="AO2" s="93">
        <v>5</v>
      </c>
      <c r="AP2" s="94"/>
      <c r="AQ2" s="94"/>
      <c r="AR2" s="94"/>
      <c r="AS2" s="94"/>
    </row>
    <row r="3" spans="1:45" s="95" customFormat="1" ht="11.25" customHeight="1">
      <c r="A3" s="102">
        <f>IF(V3="OK",IF(ISNUMBER(A2),A2+1,1),IF(ISNUMBER(A2),A2,0))</f>
        <v>1</v>
      </c>
      <c r="B3" s="103" t="s">
        <v>28</v>
      </c>
      <c r="C3" s="135" t="str">
        <f t="shared" ref="C3:C8" si="0">VLOOKUP(B3,Teilnehmer,3,FALSE)</f>
        <v>Ehrl, Lionel</v>
      </c>
      <c r="D3" s="102" t="str">
        <f t="shared" ref="D3:D40" si="1">VLOOKUP(B3,Teilnehmer,4,FALSE)</f>
        <v>EL</v>
      </c>
      <c r="E3" s="103" t="s">
        <v>14</v>
      </c>
      <c r="F3" s="104">
        <v>1</v>
      </c>
      <c r="G3" s="102" t="str">
        <f>E3&amp;F3</f>
        <v>SF1</v>
      </c>
      <c r="H3" s="102" t="str">
        <f>E3&amp;F3&amp;D3</f>
        <v>SF1EL</v>
      </c>
      <c r="I3" s="105">
        <f t="shared" ref="I3:I40" si="2">VLOOKUP(E3&amp;F3,CourseData,6,FALSE)</f>
        <v>5.66</v>
      </c>
      <c r="J3" s="102">
        <v>1</v>
      </c>
      <c r="K3" s="106">
        <f t="shared" ref="K3:K40" si="3">VLOOKUP(J3,ErmP,2+CODE(B3)-64,FALSE)</f>
        <v>1</v>
      </c>
      <c r="L3" s="106">
        <f t="shared" ref="L3:L40" si="4">VLOOKUP(E3,SchwierigkeitP,2+CODE(B3)-64,FALSE)</f>
        <v>0.95</v>
      </c>
      <c r="M3" s="106">
        <f>VLOOKUP(O3-Parameters!$C$33,Zeit,2)</f>
        <v>1</v>
      </c>
      <c r="N3" s="84">
        <f t="shared" ref="N3:N39" si="5">K3*L3*M3</f>
        <v>0.95</v>
      </c>
      <c r="O3" s="107">
        <v>1.375</v>
      </c>
      <c r="P3" s="108">
        <f>VLOOKUP(H3,TimeBasis!A:B,2,FALSE)*N3</f>
        <v>2.6138194444444443E-2</v>
      </c>
      <c r="Q3" s="137" t="str">
        <f t="shared" ref="Q3:Q40" si="6">IF((O3+P3)&gt;Endzeit,"x","")</f>
        <v/>
      </c>
      <c r="R3" s="109">
        <f t="shared" ref="R3:R40" si="7">VLOOKUP(D3,Basis,2,FALSE)*N3</f>
        <v>4.6180555555555558E-3</v>
      </c>
      <c r="S3" s="109"/>
      <c r="T3" s="110">
        <f>Startzeit</f>
        <v>1.375</v>
      </c>
      <c r="U3" s="111">
        <v>2.1388888888888888E-2</v>
      </c>
      <c r="V3" s="111" t="s">
        <v>155</v>
      </c>
      <c r="W3" s="140">
        <f>IF(AND(U3&gt;0,V3="OK"),IF(ISNUMBER(W2),W2+1,1),W2)</f>
        <v>1</v>
      </c>
      <c r="X3" s="108" t="str">
        <f t="shared" ref="X3:X37" si="8">IF(U3&gt;0,IF(U3&lt;P3,"-","+")&amp;TEXT(ABS(U3-P3),"[m]:ss"),"")</f>
        <v>-6:50</v>
      </c>
      <c r="Y3" s="108" t="str">
        <f>IF(U3&gt;0,IF((T3+U3)&lt;(O3+P3),"-","+")&amp;TEXT(ABS((T3+U3)-(O3+P3)),"[m]:ss"),"")</f>
        <v>-6:50</v>
      </c>
      <c r="Z3" s="112">
        <f t="shared" ref="Z3:Z40" si="9">IF(U3&gt;0,VLOOKUP(E3&amp;F3,CourseData,2,FALSE),"")</f>
        <v>5.0999999999999996</v>
      </c>
      <c r="AA3" s="113">
        <f t="shared" ref="AA3:AA40" si="10">IF(U3&gt;0,VLOOKUP(E3&amp;F3,CourseData,4,FALSE),"")</f>
        <v>80</v>
      </c>
      <c r="AB3" s="112">
        <f>IF(U3&gt;0,Z3+AA3*Climbfaktor/1000,VLOOKUP($E3,CoursesBasis!B$3:K$39,9,FALSE))</f>
        <v>5.66</v>
      </c>
      <c r="AC3" s="114">
        <f>IF(AND(U3&gt;0,AB3&gt;0),U3/AB3,"")</f>
        <v>3.7789556340793087E-3</v>
      </c>
      <c r="AD3" s="114">
        <f t="shared" ref="AD3:AD40" si="11">IF(ISNUMBER(AC3),AC3/N3,"")</f>
        <v>3.9778480358729565E-3</v>
      </c>
      <c r="AE3" s="114" t="str">
        <f t="shared" ref="AE3:AE40" si="12">IF(AND(ISNUMBER(AD3),ISNUMBER(R3)),IF(AD3-R3&gt;0,CONCATENATE(TEXT(ABS(AD3-R3),"[M]:SS")," +"),CONCATENATE(TEXT(ABS(AD3-R3),"[M]:SS")," -")),"")</f>
        <v>0:55 -</v>
      </c>
      <c r="AF3" s="101"/>
      <c r="AG3" s="96" t="s">
        <v>14</v>
      </c>
      <c r="AH3" s="97">
        <f t="shared" ref="AH3:AH14" si="13">VLOOKUP(AG3,Courses,2,FALSE)</f>
        <v>1</v>
      </c>
      <c r="AI3" s="97">
        <f t="shared" ref="AI3:AI14" si="14">COUNTIF(E:E,AG3)</f>
        <v>1</v>
      </c>
      <c r="AJ3" s="98">
        <f t="shared" ref="AJ3:AJ14" si="15">AI3-VLOOKUP(AG3,Courses,2,FALSE)</f>
        <v>0</v>
      </c>
      <c r="AK3" s="97">
        <f t="shared" ref="AK3:AO14" si="16">IF($AH3&gt;=AK$2,COUNTIF($G$3:$G$40,CONCATENATE($AG3,AK$2)),"-")</f>
        <v>1</v>
      </c>
      <c r="AL3" s="97" t="str">
        <f t="shared" si="16"/>
        <v>-</v>
      </c>
      <c r="AM3" s="97" t="str">
        <f t="shared" si="16"/>
        <v>-</v>
      </c>
      <c r="AN3" s="97" t="str">
        <f t="shared" si="16"/>
        <v>-</v>
      </c>
      <c r="AO3" s="97" t="str">
        <f t="shared" si="16"/>
        <v>-</v>
      </c>
      <c r="AP3" s="94"/>
      <c r="AQ3" s="94"/>
      <c r="AR3" s="94"/>
      <c r="AS3" s="94"/>
    </row>
    <row r="4" spans="1:45" s="95" customFormat="1" ht="11.25" customHeight="1">
      <c r="A4" s="102">
        <f t="shared" ref="A4:A40" si="17">IF(V4="OK",IF(ISNUMBER(A3),A3+1,1),IF(ISNUMBER(A3),A3,0))</f>
        <v>2</v>
      </c>
      <c r="B4" s="103" t="s">
        <v>30</v>
      </c>
      <c r="C4" s="135" t="str">
        <f t="shared" si="0"/>
        <v>Baath, Veikko</v>
      </c>
      <c r="D4" s="102" t="str">
        <f t="shared" si="1"/>
        <v>BV</v>
      </c>
      <c r="E4" s="103" t="s">
        <v>17</v>
      </c>
      <c r="F4" s="104">
        <v>4</v>
      </c>
      <c r="G4" s="102" t="str">
        <f t="shared" ref="G4:G40" si="18">E4&amp;F4</f>
        <v>LE4</v>
      </c>
      <c r="H4" s="102" t="str">
        <f t="shared" ref="H4:H40" si="19">E4&amp;F4&amp;D4</f>
        <v>LE4BV</v>
      </c>
      <c r="I4" s="105">
        <f t="shared" si="2"/>
        <v>9.09</v>
      </c>
      <c r="J4" s="102">
        <v>1</v>
      </c>
      <c r="K4" s="106">
        <f t="shared" si="3"/>
        <v>1</v>
      </c>
      <c r="L4" s="106">
        <f t="shared" si="4"/>
        <v>1</v>
      </c>
      <c r="M4" s="106">
        <f>VLOOKUP(O4-Parameters!$C$33,Zeit,2)</f>
        <v>1</v>
      </c>
      <c r="N4" s="84">
        <f t="shared" si="5"/>
        <v>1</v>
      </c>
      <c r="O4" s="107">
        <f t="shared" ref="O4:O40" si="20">IF(AND(UPPER(MID($E4,2,1))="T",O3+P3&lt;Twilight),Twilight,O3+P3)</f>
        <v>1.4011381944444445</v>
      </c>
      <c r="P4" s="108">
        <f>VLOOKUP(H4,TimeBasis!A:B,2,FALSE)*N4</f>
        <v>4.7869791666666661E-2</v>
      </c>
      <c r="Q4" s="137" t="str">
        <f t="shared" si="6"/>
        <v/>
      </c>
      <c r="R4" s="109">
        <f t="shared" si="7"/>
        <v>5.2662037037037035E-3</v>
      </c>
      <c r="S4" s="109" t="str">
        <f>IF(O4-P3-O3&gt;1/24/60/60,O4-P3-O3,"")</f>
        <v/>
      </c>
      <c r="T4" s="110">
        <f t="shared" ref="T4:T41" si="21">IF(AND(UPPER(MID($E4,2,1))="T",T3+U3&lt;Twilight),Twilight,T3+U3)</f>
        <v>1.3963888888888889</v>
      </c>
      <c r="U4" s="111">
        <v>4.4930555555555557E-2</v>
      </c>
      <c r="V4" s="111" t="s">
        <v>155</v>
      </c>
      <c r="W4" s="140">
        <f t="shared" ref="W4:W40" si="22">IF(AND(U4&gt;0,V4="OK"),IF(ISNUMBER(W3),W3+1,1),W3)</f>
        <v>2</v>
      </c>
      <c r="X4" s="108" t="str">
        <f t="shared" si="8"/>
        <v>-4:14</v>
      </c>
      <c r="Y4" s="108" t="str">
        <f t="shared" ref="Y4:Y40" si="23">IF(U4&gt;0,IF((T4+U4)&lt;(O4+P4),"-","+")&amp;TEXT(ABS((T4+U4)-(O4+P4)),"[m]:ss"),"")</f>
        <v>-11:04</v>
      </c>
      <c r="Z4" s="112">
        <f t="shared" si="9"/>
        <v>7.9</v>
      </c>
      <c r="AA4" s="113">
        <f t="shared" si="10"/>
        <v>170</v>
      </c>
      <c r="AB4" s="112">
        <f>IF(U4&gt;0,Z4+AA4*Climbfaktor/1000,VLOOKUP($E4,CoursesBasis!B$3:K$39,9,FALSE))</f>
        <v>9.09</v>
      </c>
      <c r="AC4" s="114">
        <f>IF(AND(U4&gt;0,AB4&gt;0),U4/AB4,"")</f>
        <v>4.9428553966507768E-3</v>
      </c>
      <c r="AD4" s="114">
        <f t="shared" si="11"/>
        <v>4.9428553966507768E-3</v>
      </c>
      <c r="AE4" s="114" t="str">
        <f t="shared" si="12"/>
        <v>0:28 -</v>
      </c>
      <c r="AF4" s="101"/>
      <c r="AG4" s="96" t="s">
        <v>15</v>
      </c>
      <c r="AH4" s="97">
        <f t="shared" si="13"/>
        <v>4</v>
      </c>
      <c r="AI4" s="97">
        <f t="shared" si="14"/>
        <v>4</v>
      </c>
      <c r="AJ4" s="98">
        <f t="shared" si="15"/>
        <v>0</v>
      </c>
      <c r="AK4" s="97">
        <f t="shared" si="16"/>
        <v>1</v>
      </c>
      <c r="AL4" s="97">
        <f t="shared" si="16"/>
        <v>1</v>
      </c>
      <c r="AM4" s="97">
        <f t="shared" si="16"/>
        <v>1</v>
      </c>
      <c r="AN4" s="97">
        <f t="shared" si="16"/>
        <v>1</v>
      </c>
      <c r="AO4" s="97" t="str">
        <f t="shared" si="16"/>
        <v>-</v>
      </c>
      <c r="AP4" s="94"/>
      <c r="AQ4" s="94"/>
      <c r="AR4" s="94"/>
      <c r="AS4" s="94"/>
    </row>
    <row r="5" spans="1:45" s="95" customFormat="1" ht="11.25" customHeight="1">
      <c r="A5" s="102">
        <f t="shared" si="17"/>
        <v>3</v>
      </c>
      <c r="B5" s="103" t="s">
        <v>32</v>
      </c>
      <c r="C5" s="135" t="str">
        <f t="shared" si="0"/>
        <v>Lexen, Gert</v>
      </c>
      <c r="D5" s="102" t="str">
        <f t="shared" si="1"/>
        <v>LG</v>
      </c>
      <c r="E5" s="103" t="s">
        <v>17</v>
      </c>
      <c r="F5" s="104">
        <v>1</v>
      </c>
      <c r="G5" s="102" t="str">
        <f t="shared" si="18"/>
        <v>LE1</v>
      </c>
      <c r="H5" s="102" t="str">
        <f t="shared" si="19"/>
        <v>LE1LG</v>
      </c>
      <c r="I5" s="105">
        <f t="shared" si="2"/>
        <v>8.2799999999999994</v>
      </c>
      <c r="J5" s="102">
        <v>1</v>
      </c>
      <c r="K5" s="106">
        <f t="shared" si="3"/>
        <v>1</v>
      </c>
      <c r="L5" s="106">
        <f t="shared" si="4"/>
        <v>1</v>
      </c>
      <c r="M5" s="106">
        <f>VLOOKUP(O5-Parameters!$C$33,Zeit,2)</f>
        <v>1</v>
      </c>
      <c r="N5" s="84">
        <f t="shared" si="5"/>
        <v>1</v>
      </c>
      <c r="O5" s="107">
        <f t="shared" si="20"/>
        <v>1.4490079861111111</v>
      </c>
      <c r="P5" s="108">
        <f>VLOOKUP(H5,TimeBasis!A:B,2,FALSE)*N5</f>
        <v>4.4562500000000005E-2</v>
      </c>
      <c r="Q5" s="137" t="str">
        <f t="shared" si="6"/>
        <v/>
      </c>
      <c r="R5" s="109">
        <f t="shared" si="7"/>
        <v>5.3819444444444453E-3</v>
      </c>
      <c r="S5" s="109" t="str">
        <f t="shared" ref="S5:S40" si="24">IF(O5-P4-O4&gt;1/24/60/60,O5-P4-O4,"")</f>
        <v/>
      </c>
      <c r="T5" s="110">
        <f t="shared" si="21"/>
        <v>1.4413194444444444</v>
      </c>
      <c r="U5" s="111">
        <v>3.9340277777777773E-2</v>
      </c>
      <c r="V5" s="111" t="s">
        <v>155</v>
      </c>
      <c r="W5" s="140">
        <f t="shared" si="22"/>
        <v>3</v>
      </c>
      <c r="X5" s="108" t="str">
        <f t="shared" si="8"/>
        <v>-7:31</v>
      </c>
      <c r="Y5" s="108" t="str">
        <f t="shared" si="23"/>
        <v>-18:35</v>
      </c>
      <c r="Z5" s="112">
        <f t="shared" si="9"/>
        <v>7.3</v>
      </c>
      <c r="AA5" s="113">
        <f t="shared" si="10"/>
        <v>140</v>
      </c>
      <c r="AB5" s="112">
        <f>IF(U5&gt;0,Z5+AA5*Climbfaktor/1000,VLOOKUP($E5,CoursesBasis!B$3:K$39,9,FALSE))</f>
        <v>8.2799999999999994</v>
      </c>
      <c r="AC5" s="114">
        <f t="shared" ref="AC5:AC40" si="25">IF(AND(U5&gt;0,AB5&gt;0),U5/AB5,"")</f>
        <v>4.7512412775093929E-3</v>
      </c>
      <c r="AD5" s="114">
        <f t="shared" si="11"/>
        <v>4.7512412775093929E-3</v>
      </c>
      <c r="AE5" s="114" t="str">
        <f t="shared" si="12"/>
        <v>0:54 -</v>
      </c>
      <c r="AF5" s="101"/>
      <c r="AG5" s="96" t="s">
        <v>16</v>
      </c>
      <c r="AH5" s="97">
        <f t="shared" si="13"/>
        <v>4</v>
      </c>
      <c r="AI5" s="97">
        <f t="shared" si="14"/>
        <v>4</v>
      </c>
      <c r="AJ5" s="98">
        <f t="shared" si="15"/>
        <v>0</v>
      </c>
      <c r="AK5" s="97">
        <f t="shared" si="16"/>
        <v>1</v>
      </c>
      <c r="AL5" s="97">
        <f t="shared" si="16"/>
        <v>1</v>
      </c>
      <c r="AM5" s="97">
        <f t="shared" si="16"/>
        <v>1</v>
      </c>
      <c r="AN5" s="97">
        <f t="shared" si="16"/>
        <v>1</v>
      </c>
      <c r="AO5" s="97" t="str">
        <f t="shared" si="16"/>
        <v>-</v>
      </c>
      <c r="AP5" s="94"/>
      <c r="AQ5" s="94"/>
      <c r="AR5" s="94"/>
      <c r="AS5" s="94"/>
    </row>
    <row r="6" spans="1:45" s="95" customFormat="1" ht="11.25" customHeight="1">
      <c r="A6" s="102">
        <f t="shared" si="17"/>
        <v>4</v>
      </c>
      <c r="B6" s="103" t="s">
        <v>34</v>
      </c>
      <c r="C6" s="135" t="str">
        <f t="shared" si="0"/>
        <v>Lorenz-Baath, Katrin</v>
      </c>
      <c r="D6" s="102" t="str">
        <f t="shared" si="1"/>
        <v>LK</v>
      </c>
      <c r="E6" s="103" t="s">
        <v>16</v>
      </c>
      <c r="F6" s="104">
        <v>1</v>
      </c>
      <c r="G6" s="102" t="str">
        <f t="shared" si="18"/>
        <v>SD1</v>
      </c>
      <c r="H6" s="102" t="str">
        <f t="shared" si="19"/>
        <v>SD1LK</v>
      </c>
      <c r="I6" s="105">
        <f t="shared" si="2"/>
        <v>5.9950000000000001</v>
      </c>
      <c r="J6" s="102">
        <v>1</v>
      </c>
      <c r="K6" s="106">
        <f t="shared" si="3"/>
        <v>1</v>
      </c>
      <c r="L6" s="106">
        <f t="shared" si="4"/>
        <v>0.95</v>
      </c>
      <c r="M6" s="106">
        <f>VLOOKUP(O6-Parameters!$C$33,Zeit,2)</f>
        <v>1</v>
      </c>
      <c r="N6" s="84">
        <f t="shared" si="5"/>
        <v>0.95</v>
      </c>
      <c r="O6" s="107">
        <f t="shared" si="20"/>
        <v>1.4935704861111112</v>
      </c>
      <c r="P6" s="108">
        <f>VLOOKUP(H6,TimeBasis!A:B,2,FALSE)*N6</f>
        <v>3.1640277777777781E-2</v>
      </c>
      <c r="Q6" s="137" t="str">
        <f t="shared" si="6"/>
        <v/>
      </c>
      <c r="R6" s="109">
        <f t="shared" si="7"/>
        <v>5.2777777777777779E-3</v>
      </c>
      <c r="S6" s="109" t="str">
        <f t="shared" si="24"/>
        <v/>
      </c>
      <c r="T6" s="110">
        <f t="shared" si="21"/>
        <v>1.4806597222222222</v>
      </c>
      <c r="U6" s="111">
        <v>3.1909722222222221E-2</v>
      </c>
      <c r="V6" s="111" t="s">
        <v>155</v>
      </c>
      <c r="W6" s="140">
        <f t="shared" si="22"/>
        <v>4</v>
      </c>
      <c r="X6" s="108" t="str">
        <f t="shared" si="8"/>
        <v>+0:23</v>
      </c>
      <c r="Y6" s="108" t="str">
        <f t="shared" si="23"/>
        <v>-18:12</v>
      </c>
      <c r="Z6" s="112">
        <f t="shared" si="9"/>
        <v>5.4</v>
      </c>
      <c r="AA6" s="113">
        <f t="shared" si="10"/>
        <v>85</v>
      </c>
      <c r="AB6" s="112">
        <f>IF(U6&gt;0,Z6+AA6*Climbfaktor/1000,VLOOKUP($E6,CoursesBasis!B$3:K$39,9,FALSE))</f>
        <v>5.9950000000000001</v>
      </c>
      <c r="AC6" s="114">
        <f t="shared" si="25"/>
        <v>5.3227226392364001E-3</v>
      </c>
      <c r="AD6" s="114">
        <f t="shared" si="11"/>
        <v>5.6028659360383166E-3</v>
      </c>
      <c r="AE6" s="114" t="str">
        <f t="shared" si="12"/>
        <v>0:28 +</v>
      </c>
      <c r="AF6" s="101"/>
      <c r="AG6" s="96" t="s">
        <v>17</v>
      </c>
      <c r="AH6" s="97">
        <f t="shared" si="13"/>
        <v>4</v>
      </c>
      <c r="AI6" s="97">
        <f t="shared" si="14"/>
        <v>4</v>
      </c>
      <c r="AJ6" s="98">
        <f t="shared" si="15"/>
        <v>0</v>
      </c>
      <c r="AK6" s="97">
        <f t="shared" si="16"/>
        <v>1</v>
      </c>
      <c r="AL6" s="97">
        <f t="shared" si="16"/>
        <v>1</v>
      </c>
      <c r="AM6" s="97">
        <f t="shared" si="16"/>
        <v>1</v>
      </c>
      <c r="AN6" s="97">
        <f t="shared" si="16"/>
        <v>1</v>
      </c>
      <c r="AO6" s="97" t="str">
        <f t="shared" si="16"/>
        <v>-</v>
      </c>
      <c r="AP6" s="94"/>
      <c r="AQ6" s="94"/>
      <c r="AR6" s="94"/>
      <c r="AS6" s="94"/>
    </row>
    <row r="7" spans="1:45" s="95" customFormat="1" ht="11.25" customHeight="1">
      <c r="A7" s="102">
        <f t="shared" si="17"/>
        <v>5</v>
      </c>
      <c r="B7" s="103" t="s">
        <v>35</v>
      </c>
      <c r="C7" s="135" t="str">
        <f t="shared" si="0"/>
        <v>Lexen, Dieter</v>
      </c>
      <c r="D7" s="102" t="str">
        <f t="shared" si="1"/>
        <v>LD</v>
      </c>
      <c r="E7" s="103" t="s">
        <v>17</v>
      </c>
      <c r="F7" s="104">
        <v>3</v>
      </c>
      <c r="G7" s="102" t="str">
        <f t="shared" si="18"/>
        <v>LE3</v>
      </c>
      <c r="H7" s="102" t="str">
        <f t="shared" si="19"/>
        <v>LE3LD</v>
      </c>
      <c r="I7" s="105">
        <f t="shared" si="2"/>
        <v>8.3450000000000006</v>
      </c>
      <c r="J7" s="102">
        <v>1</v>
      </c>
      <c r="K7" s="106">
        <f t="shared" si="3"/>
        <v>1</v>
      </c>
      <c r="L7" s="106">
        <f t="shared" si="4"/>
        <v>1.05</v>
      </c>
      <c r="M7" s="106">
        <f>VLOOKUP(O7-Parameters!$C$33,Zeit,2)</f>
        <v>1</v>
      </c>
      <c r="N7" s="84">
        <f t="shared" si="5"/>
        <v>1.05</v>
      </c>
      <c r="O7" s="107">
        <f t="shared" si="20"/>
        <v>1.525210763888889</v>
      </c>
      <c r="P7" s="108">
        <f>VLOOKUP(H7,TimeBasis!A:B,2,FALSE)*N7</f>
        <v>4.7157942708333352E-2</v>
      </c>
      <c r="Q7" s="137" t="str">
        <f t="shared" si="6"/>
        <v/>
      </c>
      <c r="R7" s="109">
        <f t="shared" si="7"/>
        <v>5.6510416666666679E-3</v>
      </c>
      <c r="S7" s="109" t="str">
        <f t="shared" si="24"/>
        <v/>
      </c>
      <c r="T7" s="110">
        <f t="shared" si="21"/>
        <v>1.5125694444444444</v>
      </c>
      <c r="U7" s="111">
        <v>4.6759259259259257E-2</v>
      </c>
      <c r="V7" s="111" t="s">
        <v>155</v>
      </c>
      <c r="W7" s="140">
        <f t="shared" si="22"/>
        <v>5</v>
      </c>
      <c r="X7" s="108" t="str">
        <f t="shared" si="8"/>
        <v>-0:34</v>
      </c>
      <c r="Y7" s="108" t="str">
        <f t="shared" si="23"/>
        <v>-18:47</v>
      </c>
      <c r="Z7" s="112">
        <f t="shared" si="9"/>
        <v>7.4</v>
      </c>
      <c r="AA7" s="113">
        <f t="shared" si="10"/>
        <v>135</v>
      </c>
      <c r="AB7" s="112">
        <f>IF(U7&gt;0,Z7+AA7*Climbfaktor/1000,VLOOKUP($E7,CoursesBasis!B$3:K$39,9,FALSE))</f>
        <v>8.3450000000000006</v>
      </c>
      <c r="AC7" s="114">
        <f t="shared" si="25"/>
        <v>5.6032665379579689E-3</v>
      </c>
      <c r="AD7" s="114">
        <f t="shared" si="11"/>
        <v>5.336444321864732E-3</v>
      </c>
      <c r="AE7" s="114" t="str">
        <f t="shared" si="12"/>
        <v>0:27 -</v>
      </c>
      <c r="AF7" s="101"/>
      <c r="AG7" s="96" t="s">
        <v>18</v>
      </c>
      <c r="AH7" s="97">
        <f t="shared" si="13"/>
        <v>3</v>
      </c>
      <c r="AI7" s="97">
        <f t="shared" si="14"/>
        <v>3</v>
      </c>
      <c r="AJ7" s="98">
        <f t="shared" si="15"/>
        <v>0</v>
      </c>
      <c r="AK7" s="97">
        <f t="shared" si="16"/>
        <v>1</v>
      </c>
      <c r="AL7" s="97">
        <f t="shared" si="16"/>
        <v>1</v>
      </c>
      <c r="AM7" s="97">
        <f t="shared" si="16"/>
        <v>1</v>
      </c>
      <c r="AN7" s="97" t="str">
        <f t="shared" si="16"/>
        <v>-</v>
      </c>
      <c r="AO7" s="97" t="str">
        <f t="shared" si="16"/>
        <v>-</v>
      </c>
    </row>
    <row r="8" spans="1:45" s="95" customFormat="1" ht="11.25" customHeight="1">
      <c r="A8" s="102">
        <f t="shared" si="17"/>
        <v>6</v>
      </c>
      <c r="B8" s="103" t="s">
        <v>37</v>
      </c>
      <c r="C8" s="135" t="str">
        <f t="shared" si="0"/>
        <v>Ritter, Sigrun</v>
      </c>
      <c r="D8" s="102" t="str">
        <f t="shared" si="1"/>
        <v>RS</v>
      </c>
      <c r="E8" s="103" t="s">
        <v>15</v>
      </c>
      <c r="F8" s="104">
        <v>1</v>
      </c>
      <c r="G8" s="102" t="str">
        <f t="shared" si="18"/>
        <v>SE1</v>
      </c>
      <c r="H8" s="102" t="str">
        <f t="shared" si="19"/>
        <v>SE1RS</v>
      </c>
      <c r="I8" s="105">
        <f t="shared" si="2"/>
        <v>3.8849999999999998</v>
      </c>
      <c r="J8" s="102">
        <v>1</v>
      </c>
      <c r="K8" s="106">
        <f t="shared" si="3"/>
        <v>1</v>
      </c>
      <c r="L8" s="106">
        <f t="shared" si="4"/>
        <v>0.9</v>
      </c>
      <c r="M8" s="106">
        <f>VLOOKUP(O8-Parameters!$C$33,Zeit,2)</f>
        <v>1</v>
      </c>
      <c r="N8" s="84">
        <f t="shared" si="5"/>
        <v>0.9</v>
      </c>
      <c r="O8" s="107">
        <f t="shared" si="20"/>
        <v>1.5723687065972223</v>
      </c>
      <c r="P8" s="108">
        <f>VLOOKUP(H8,TimeBasis!A:B,2,FALSE)*N8</f>
        <v>1.8575156249999999E-2</v>
      </c>
      <c r="Q8" s="137" t="str">
        <f t="shared" si="6"/>
        <v/>
      </c>
      <c r="R8" s="109">
        <f t="shared" si="7"/>
        <v>5.3125000000000004E-3</v>
      </c>
      <c r="S8" s="109" t="str">
        <f t="shared" si="24"/>
        <v/>
      </c>
      <c r="T8" s="110">
        <f t="shared" si="21"/>
        <v>1.5593287037037036</v>
      </c>
      <c r="U8" s="111">
        <v>2.3333333333333334E-2</v>
      </c>
      <c r="V8" s="111" t="s">
        <v>155</v>
      </c>
      <c r="W8" s="140">
        <f t="shared" si="22"/>
        <v>6</v>
      </c>
      <c r="X8" s="108" t="str">
        <f t="shared" si="8"/>
        <v>+6:51</v>
      </c>
      <c r="Y8" s="108" t="str">
        <f t="shared" si="23"/>
        <v>-11:56</v>
      </c>
      <c r="Z8" s="112">
        <f t="shared" si="9"/>
        <v>3.5</v>
      </c>
      <c r="AA8" s="113">
        <f t="shared" si="10"/>
        <v>55</v>
      </c>
      <c r="AB8" s="112">
        <f>IF(U8&gt;0,Z8+AA8*Climbfaktor/1000,VLOOKUP($E8,CoursesBasis!B$3:K$39,9,FALSE))</f>
        <v>3.8849999999999998</v>
      </c>
      <c r="AC8" s="114">
        <f t="shared" si="25"/>
        <v>6.0060060060060068E-3</v>
      </c>
      <c r="AD8" s="114">
        <f t="shared" si="11"/>
        <v>6.6733400066733405E-3</v>
      </c>
      <c r="AE8" s="114" t="str">
        <f t="shared" si="12"/>
        <v>1:58 +</v>
      </c>
      <c r="AF8" s="101"/>
      <c r="AG8" s="96" t="s">
        <v>19</v>
      </c>
      <c r="AH8" s="97">
        <f t="shared" si="13"/>
        <v>1</v>
      </c>
      <c r="AI8" s="97">
        <f t="shared" si="14"/>
        <v>1</v>
      </c>
      <c r="AJ8" s="98">
        <f t="shared" si="15"/>
        <v>0</v>
      </c>
      <c r="AK8" s="97">
        <f t="shared" si="16"/>
        <v>1</v>
      </c>
      <c r="AL8" s="97" t="str">
        <f t="shared" si="16"/>
        <v>-</v>
      </c>
      <c r="AM8" s="97" t="str">
        <f t="shared" si="16"/>
        <v>-</v>
      </c>
      <c r="AN8" s="97" t="str">
        <f t="shared" si="16"/>
        <v>-</v>
      </c>
      <c r="AO8" s="97" t="str">
        <f t="shared" si="16"/>
        <v>-</v>
      </c>
    </row>
    <row r="9" spans="1:45" s="95" customFormat="1" ht="11.25" customHeight="1">
      <c r="A9" s="102">
        <f t="shared" si="17"/>
        <v>7</v>
      </c>
      <c r="B9" s="103" t="s">
        <v>28</v>
      </c>
      <c r="C9" s="135" t="str">
        <f t="shared" ref="C9:C40" si="26">VLOOKUP(B9,Teilnehmer,3,FALSE)&amp;IF($O9+$P9&gt;Endzeit,tooLate,"")</f>
        <v>Ehrl, Lionel</v>
      </c>
      <c r="D9" s="102" t="str">
        <f t="shared" si="1"/>
        <v>EL</v>
      </c>
      <c r="E9" s="103" t="s">
        <v>18</v>
      </c>
      <c r="F9" s="104">
        <v>2</v>
      </c>
      <c r="G9" s="102" t="str">
        <f t="shared" si="18"/>
        <v>LD2</v>
      </c>
      <c r="H9" s="102" t="str">
        <f t="shared" si="19"/>
        <v>LD2EL</v>
      </c>
      <c r="I9" s="105">
        <f t="shared" si="2"/>
        <v>10.815000000000001</v>
      </c>
      <c r="J9" s="102">
        <f t="shared" ref="J9:J40" si="27">J3+1</f>
        <v>2</v>
      </c>
      <c r="K9" s="106">
        <f t="shared" si="3"/>
        <v>1.0276033333333332</v>
      </c>
      <c r="L9" s="106">
        <f t="shared" si="4"/>
        <v>1.05</v>
      </c>
      <c r="M9" s="106">
        <f>VLOOKUP(O9-Parameters!$C$33,Zeit,2)</f>
        <v>1</v>
      </c>
      <c r="N9" s="84">
        <f t="shared" si="5"/>
        <v>1.0789834999999999</v>
      </c>
      <c r="O9" s="107">
        <f t="shared" si="20"/>
        <v>1.5909438628472223</v>
      </c>
      <c r="P9" s="108">
        <f>VLOOKUP(H9,TimeBasis!A:B,2,FALSE)*N9</f>
        <v>5.9561575111718744E-2</v>
      </c>
      <c r="Q9" s="137" t="str">
        <f t="shared" si="6"/>
        <v/>
      </c>
      <c r="R9" s="109">
        <f t="shared" si="7"/>
        <v>5.245058680555555E-3</v>
      </c>
      <c r="S9" s="109" t="str">
        <f t="shared" si="24"/>
        <v/>
      </c>
      <c r="T9" s="110">
        <f t="shared" si="21"/>
        <v>1.582662037037037</v>
      </c>
      <c r="U9" s="111">
        <v>5.4270833333333331E-2</v>
      </c>
      <c r="V9" s="111" t="s">
        <v>155</v>
      </c>
      <c r="W9" s="140">
        <f t="shared" si="22"/>
        <v>7</v>
      </c>
      <c r="X9" s="108" t="str">
        <f t="shared" si="8"/>
        <v>-7:37</v>
      </c>
      <c r="Y9" s="108" t="str">
        <f t="shared" si="23"/>
        <v>-19:33</v>
      </c>
      <c r="Z9" s="112">
        <f t="shared" si="9"/>
        <v>9.8000000000000007</v>
      </c>
      <c r="AA9" s="113">
        <f t="shared" si="10"/>
        <v>145</v>
      </c>
      <c r="AB9" s="112">
        <f>IF(U9&gt;0,Z9+AA9*Climbfaktor/1000,VLOOKUP($E9,CoursesBasis!B$3:K$39,9,FALSE))</f>
        <v>10.815000000000001</v>
      </c>
      <c r="AC9" s="114">
        <f t="shared" si="25"/>
        <v>5.0181075666512554E-3</v>
      </c>
      <c r="AD9" s="114">
        <f t="shared" si="11"/>
        <v>4.6507732200272347E-3</v>
      </c>
      <c r="AE9" s="114" t="str">
        <f t="shared" si="12"/>
        <v>0:51 -</v>
      </c>
      <c r="AF9" s="101"/>
      <c r="AG9" s="96" t="s">
        <v>20</v>
      </c>
      <c r="AH9" s="97">
        <f t="shared" si="13"/>
        <v>1</v>
      </c>
      <c r="AI9" s="97">
        <f t="shared" si="14"/>
        <v>1</v>
      </c>
      <c r="AJ9" s="98">
        <f t="shared" si="15"/>
        <v>0</v>
      </c>
      <c r="AK9" s="97">
        <f t="shared" si="16"/>
        <v>1</v>
      </c>
      <c r="AL9" s="97" t="str">
        <f t="shared" si="16"/>
        <v>-</v>
      </c>
      <c r="AM9" s="97" t="str">
        <f t="shared" si="16"/>
        <v>-</v>
      </c>
      <c r="AN9" s="97" t="str">
        <f t="shared" si="16"/>
        <v>-</v>
      </c>
      <c r="AO9" s="97" t="str">
        <f t="shared" si="16"/>
        <v>-</v>
      </c>
    </row>
    <row r="10" spans="1:45" s="95" customFormat="1" ht="11.25" customHeight="1">
      <c r="A10" s="102">
        <f t="shared" si="17"/>
        <v>8</v>
      </c>
      <c r="B10" s="103" t="s">
        <v>30</v>
      </c>
      <c r="C10" s="135" t="str">
        <f t="shared" si="26"/>
        <v>Baath, Veikko</v>
      </c>
      <c r="D10" s="102" t="str">
        <f t="shared" si="1"/>
        <v>BV</v>
      </c>
      <c r="E10" s="103" t="s">
        <v>17</v>
      </c>
      <c r="F10" s="104">
        <v>2</v>
      </c>
      <c r="G10" s="102" t="str">
        <f t="shared" si="18"/>
        <v>LE2</v>
      </c>
      <c r="H10" s="102" t="str">
        <f t="shared" si="19"/>
        <v>LE2BV</v>
      </c>
      <c r="I10" s="105">
        <f t="shared" si="2"/>
        <v>8.17</v>
      </c>
      <c r="J10" s="102">
        <f t="shared" si="27"/>
        <v>2</v>
      </c>
      <c r="K10" s="106">
        <f t="shared" si="3"/>
        <v>1.0299111249999999</v>
      </c>
      <c r="L10" s="106">
        <f t="shared" si="4"/>
        <v>1</v>
      </c>
      <c r="M10" s="106">
        <f>VLOOKUP(O10-Parameters!$C$33,Zeit,2)</f>
        <v>1</v>
      </c>
      <c r="N10" s="84">
        <f t="shared" si="5"/>
        <v>1.0299111249999999</v>
      </c>
      <c r="O10" s="107">
        <f t="shared" si="20"/>
        <v>1.650505437958941</v>
      </c>
      <c r="P10" s="108">
        <f>VLOOKUP(H10,TimeBasis!A:B,2,FALSE)*N10</f>
        <v>4.4311806950448493E-2</v>
      </c>
      <c r="Q10" s="137" t="str">
        <f t="shared" si="6"/>
        <v/>
      </c>
      <c r="R10" s="109">
        <f t="shared" si="7"/>
        <v>5.423721780960648E-3</v>
      </c>
      <c r="S10" s="109" t="str">
        <f t="shared" si="24"/>
        <v/>
      </c>
      <c r="T10" s="110">
        <f t="shared" si="21"/>
        <v>1.6369328703703703</v>
      </c>
      <c r="U10" s="111">
        <v>4.1388888888888892E-2</v>
      </c>
      <c r="V10" s="111" t="s">
        <v>155</v>
      </c>
      <c r="W10" s="140">
        <f t="shared" si="22"/>
        <v>8</v>
      </c>
      <c r="X10" s="108" t="str">
        <f t="shared" si="8"/>
        <v>-4:13</v>
      </c>
      <c r="Y10" s="108" t="str">
        <f t="shared" si="23"/>
        <v>-23:45</v>
      </c>
      <c r="Z10" s="112">
        <f t="shared" si="9"/>
        <v>7.4</v>
      </c>
      <c r="AA10" s="113">
        <f t="shared" si="10"/>
        <v>110</v>
      </c>
      <c r="AB10" s="112">
        <f>IF(U10&gt;0,Z10+AA10*Climbfaktor/1000,VLOOKUP($E10,CoursesBasis!B$3:K$39,9,FALSE))</f>
        <v>8.17</v>
      </c>
      <c r="AC10" s="114">
        <f t="shared" si="25"/>
        <v>5.0659594723242215E-3</v>
      </c>
      <c r="AD10" s="114">
        <f t="shared" si="11"/>
        <v>4.9188316830000474E-3</v>
      </c>
      <c r="AE10" s="114" t="str">
        <f t="shared" si="12"/>
        <v>0:44 -</v>
      </c>
      <c r="AF10" s="101"/>
      <c r="AG10" s="96" t="s">
        <v>21</v>
      </c>
      <c r="AH10" s="97">
        <f t="shared" si="13"/>
        <v>5</v>
      </c>
      <c r="AI10" s="97">
        <f t="shared" si="14"/>
        <v>5</v>
      </c>
      <c r="AJ10" s="98">
        <f t="shared" si="15"/>
        <v>0</v>
      </c>
      <c r="AK10" s="97">
        <f t="shared" si="16"/>
        <v>1</v>
      </c>
      <c r="AL10" s="97">
        <f t="shared" si="16"/>
        <v>1</v>
      </c>
      <c r="AM10" s="97">
        <f t="shared" si="16"/>
        <v>1</v>
      </c>
      <c r="AN10" s="97">
        <f t="shared" si="16"/>
        <v>1</v>
      </c>
      <c r="AO10" s="97">
        <f t="shared" si="16"/>
        <v>1</v>
      </c>
    </row>
    <row r="11" spans="1:45" s="95" customFormat="1" ht="11.25" customHeight="1">
      <c r="A11" s="102">
        <f t="shared" si="17"/>
        <v>9</v>
      </c>
      <c r="B11" s="103" t="s">
        <v>32</v>
      </c>
      <c r="C11" s="135" t="str">
        <f t="shared" si="26"/>
        <v>Lexen, Gert</v>
      </c>
      <c r="D11" s="102" t="str">
        <f t="shared" si="1"/>
        <v>LG</v>
      </c>
      <c r="E11" s="103" t="s">
        <v>16</v>
      </c>
      <c r="F11" s="104">
        <v>4</v>
      </c>
      <c r="G11" s="102" t="str">
        <f t="shared" si="18"/>
        <v>SD4</v>
      </c>
      <c r="H11" s="102" t="str">
        <f t="shared" si="19"/>
        <v>SD4LG</v>
      </c>
      <c r="I11" s="105">
        <f t="shared" si="2"/>
        <v>6.48</v>
      </c>
      <c r="J11" s="102">
        <f t="shared" si="27"/>
        <v>2</v>
      </c>
      <c r="K11" s="106">
        <f t="shared" si="3"/>
        <v>1.0296239999999999</v>
      </c>
      <c r="L11" s="106">
        <f t="shared" si="4"/>
        <v>0.95</v>
      </c>
      <c r="M11" s="106">
        <f>VLOOKUP(O11-Parameters!$C$33,Zeit,2)</f>
        <v>1</v>
      </c>
      <c r="N11" s="84">
        <f t="shared" si="5"/>
        <v>0.97814279999999987</v>
      </c>
      <c r="O11" s="107">
        <f t="shared" si="20"/>
        <v>1.6948172449093895</v>
      </c>
      <c r="P11" s="108">
        <f>VLOOKUP(H11,TimeBasis!A:B,2,FALSE)*N11</f>
        <v>3.4112730150000006E-2</v>
      </c>
      <c r="Q11" s="137" t="str">
        <f t="shared" si="6"/>
        <v/>
      </c>
      <c r="R11" s="109">
        <f t="shared" si="7"/>
        <v>5.2643102083333336E-3</v>
      </c>
      <c r="S11" s="109" t="str">
        <f t="shared" si="24"/>
        <v/>
      </c>
      <c r="T11" s="110">
        <f t="shared" si="21"/>
        <v>1.6783217592592592</v>
      </c>
      <c r="U11" s="111">
        <v>3.4178240740740738E-2</v>
      </c>
      <c r="V11" s="111" t="s">
        <v>155</v>
      </c>
      <c r="W11" s="140">
        <f t="shared" si="22"/>
        <v>9</v>
      </c>
      <c r="X11" s="108" t="str">
        <f t="shared" si="8"/>
        <v>+0:06</v>
      </c>
      <c r="Y11" s="108" t="str">
        <f t="shared" si="23"/>
        <v>-23:40</v>
      </c>
      <c r="Z11" s="112">
        <f t="shared" si="9"/>
        <v>5.5</v>
      </c>
      <c r="AA11" s="113">
        <f t="shared" si="10"/>
        <v>140</v>
      </c>
      <c r="AB11" s="112">
        <f>IF(U11&gt;0,Z11+AA11*Climbfaktor/1000,VLOOKUP($E11,CoursesBasis!B$3:K$39,9,FALSE))</f>
        <v>6.48</v>
      </c>
      <c r="AC11" s="114">
        <f t="shared" si="25"/>
        <v>5.2744198673982615E-3</v>
      </c>
      <c r="AD11" s="114">
        <f t="shared" si="11"/>
        <v>5.3922800100335679E-3</v>
      </c>
      <c r="AE11" s="114" t="str">
        <f t="shared" si="12"/>
        <v>0:11 +</v>
      </c>
      <c r="AF11" s="101"/>
      <c r="AG11" s="96" t="s">
        <v>22</v>
      </c>
      <c r="AH11" s="97">
        <f t="shared" si="13"/>
        <v>3</v>
      </c>
      <c r="AI11" s="97">
        <f t="shared" si="14"/>
        <v>3</v>
      </c>
      <c r="AJ11" s="98">
        <f t="shared" si="15"/>
        <v>0</v>
      </c>
      <c r="AK11" s="97">
        <f t="shared" si="16"/>
        <v>1</v>
      </c>
      <c r="AL11" s="97">
        <f t="shared" si="16"/>
        <v>1</v>
      </c>
      <c r="AM11" s="97">
        <f t="shared" si="16"/>
        <v>1</v>
      </c>
      <c r="AN11" s="97" t="str">
        <f t="shared" si="16"/>
        <v>-</v>
      </c>
      <c r="AO11" s="97" t="str">
        <f t="shared" si="16"/>
        <v>-</v>
      </c>
    </row>
    <row r="12" spans="1:45" s="95" customFormat="1" ht="11.25" customHeight="1">
      <c r="A12" s="102">
        <f t="shared" si="17"/>
        <v>10</v>
      </c>
      <c r="B12" s="103" t="s">
        <v>34</v>
      </c>
      <c r="C12" s="135" t="str">
        <f t="shared" si="26"/>
        <v>Lorenz-Baath, Katrin</v>
      </c>
      <c r="D12" s="102" t="str">
        <f t="shared" si="1"/>
        <v>LK</v>
      </c>
      <c r="E12" s="103" t="s">
        <v>15</v>
      </c>
      <c r="F12" s="104">
        <v>2</v>
      </c>
      <c r="G12" s="102" t="str">
        <f t="shared" si="18"/>
        <v>SE2</v>
      </c>
      <c r="H12" s="102" t="str">
        <f t="shared" si="19"/>
        <v>SE2LK</v>
      </c>
      <c r="I12" s="105">
        <f t="shared" si="2"/>
        <v>4.08</v>
      </c>
      <c r="J12" s="102">
        <f t="shared" si="27"/>
        <v>2</v>
      </c>
      <c r="K12" s="106">
        <f t="shared" si="3"/>
        <v>1.0306318749999999</v>
      </c>
      <c r="L12" s="106">
        <f t="shared" si="4"/>
        <v>0.85</v>
      </c>
      <c r="M12" s="106">
        <f>VLOOKUP(O12-Parameters!$C$33,Zeit,2)</f>
        <v>1</v>
      </c>
      <c r="N12" s="84">
        <f t="shared" si="5"/>
        <v>0.87603709374999983</v>
      </c>
      <c r="O12" s="107">
        <f t="shared" si="20"/>
        <v>1.7289299750593894</v>
      </c>
      <c r="P12" s="108">
        <f>VLOOKUP(H12,TimeBasis!A:B,2,FALSE)*N12</f>
        <v>1.7871156712499999E-2</v>
      </c>
      <c r="Q12" s="137" t="str">
        <f t="shared" si="6"/>
        <v/>
      </c>
      <c r="R12" s="109">
        <f t="shared" si="7"/>
        <v>4.866872743055555E-3</v>
      </c>
      <c r="S12" s="109" t="str">
        <f t="shared" si="24"/>
        <v/>
      </c>
      <c r="T12" s="110">
        <f t="shared" si="21"/>
        <v>1.7124999999999999</v>
      </c>
      <c r="U12" s="111">
        <v>1.8807870370370371E-2</v>
      </c>
      <c r="V12" s="111" t="s">
        <v>155</v>
      </c>
      <c r="W12" s="140">
        <f t="shared" si="22"/>
        <v>10</v>
      </c>
      <c r="X12" s="108" t="str">
        <f t="shared" si="8"/>
        <v>+1:21</v>
      </c>
      <c r="Y12" s="108" t="str">
        <f t="shared" si="23"/>
        <v>-22:19</v>
      </c>
      <c r="Z12" s="112">
        <f t="shared" si="9"/>
        <v>3.8</v>
      </c>
      <c r="AA12" s="113">
        <f t="shared" si="10"/>
        <v>40</v>
      </c>
      <c r="AB12" s="112">
        <f>IF(U12&gt;0,Z12+AA12*Climbfaktor/1000,VLOOKUP($E12,CoursesBasis!B$3:K$39,9,FALSE))</f>
        <v>4.08</v>
      </c>
      <c r="AC12" s="114">
        <f t="shared" si="25"/>
        <v>4.6097721496005809E-3</v>
      </c>
      <c r="AD12" s="114">
        <f t="shared" si="11"/>
        <v>5.2620741547230654E-3</v>
      </c>
      <c r="AE12" s="114" t="str">
        <f t="shared" si="12"/>
        <v>0:34 +</v>
      </c>
      <c r="AF12" s="101"/>
      <c r="AG12" s="96" t="s">
        <v>23</v>
      </c>
      <c r="AH12" s="97">
        <f t="shared" si="13"/>
        <v>3</v>
      </c>
      <c r="AI12" s="97">
        <f t="shared" si="14"/>
        <v>3</v>
      </c>
      <c r="AJ12" s="98">
        <f t="shared" si="15"/>
        <v>0</v>
      </c>
      <c r="AK12" s="97">
        <f t="shared" si="16"/>
        <v>1</v>
      </c>
      <c r="AL12" s="97">
        <f t="shared" si="16"/>
        <v>1</v>
      </c>
      <c r="AM12" s="97">
        <f t="shared" si="16"/>
        <v>1</v>
      </c>
      <c r="AN12" s="97" t="str">
        <f t="shared" si="16"/>
        <v>-</v>
      </c>
      <c r="AO12" s="97" t="str">
        <f t="shared" si="16"/>
        <v>-</v>
      </c>
    </row>
    <row r="13" spans="1:45" s="95" customFormat="1" ht="11.25" customHeight="1">
      <c r="A13" s="102">
        <f t="shared" si="17"/>
        <v>11</v>
      </c>
      <c r="B13" s="103" t="s">
        <v>35</v>
      </c>
      <c r="C13" s="135" t="str">
        <f t="shared" si="26"/>
        <v>Lexen, Dieter</v>
      </c>
      <c r="D13" s="102" t="str">
        <f t="shared" si="1"/>
        <v>LD</v>
      </c>
      <c r="E13" s="103" t="s">
        <v>16</v>
      </c>
      <c r="F13" s="104">
        <v>2</v>
      </c>
      <c r="G13" s="102" t="str">
        <f t="shared" si="18"/>
        <v>SD2</v>
      </c>
      <c r="H13" s="102" t="str">
        <f t="shared" si="19"/>
        <v>SD2LD</v>
      </c>
      <c r="I13" s="105">
        <f t="shared" si="2"/>
        <v>6.5149999999999997</v>
      </c>
      <c r="J13" s="102">
        <f t="shared" si="27"/>
        <v>2</v>
      </c>
      <c r="K13" s="106">
        <f t="shared" si="3"/>
        <v>1.0317130000000001</v>
      </c>
      <c r="L13" s="106">
        <f t="shared" si="4"/>
        <v>0.98</v>
      </c>
      <c r="M13" s="106">
        <f>VLOOKUP(O13-Parameters!$C$33,Zeit,2)</f>
        <v>1</v>
      </c>
      <c r="N13" s="84">
        <f t="shared" si="5"/>
        <v>1.0110787400000001</v>
      </c>
      <c r="O13" s="107">
        <f t="shared" si="20"/>
        <v>1.7468011317718894</v>
      </c>
      <c r="P13" s="108">
        <f>VLOOKUP(H13,TimeBasis!A:B,2,FALSE)*N13</f>
        <v>3.5451825993767366E-2</v>
      </c>
      <c r="Q13" s="137" t="str">
        <f t="shared" si="6"/>
        <v/>
      </c>
      <c r="R13" s="109">
        <f t="shared" si="7"/>
        <v>5.44156960763889E-3</v>
      </c>
      <c r="S13" s="109" t="str">
        <f t="shared" si="24"/>
        <v/>
      </c>
      <c r="T13" s="110">
        <f t="shared" si="21"/>
        <v>1.7313078703703704</v>
      </c>
      <c r="U13" s="111">
        <v>3.9340277777777773E-2</v>
      </c>
      <c r="V13" s="111" t="s">
        <v>155</v>
      </c>
      <c r="W13" s="140">
        <f t="shared" si="22"/>
        <v>11</v>
      </c>
      <c r="X13" s="108" t="str">
        <f t="shared" si="8"/>
        <v>+5:36</v>
      </c>
      <c r="Y13" s="108" t="str">
        <f t="shared" si="23"/>
        <v>-16:43</v>
      </c>
      <c r="Z13" s="112">
        <f t="shared" si="9"/>
        <v>5.5</v>
      </c>
      <c r="AA13" s="113">
        <f t="shared" si="10"/>
        <v>145</v>
      </c>
      <c r="AB13" s="112">
        <f>IF(U13&gt;0,Z13+AA13*Climbfaktor/1000,VLOOKUP($E13,CoursesBasis!B$3:K$39,9,FALSE))</f>
        <v>6.5149999999999997</v>
      </c>
      <c r="AC13" s="114">
        <f t="shared" si="25"/>
        <v>6.03841562206873E-3</v>
      </c>
      <c r="AD13" s="114">
        <f t="shared" si="11"/>
        <v>5.97225061034191E-3</v>
      </c>
      <c r="AE13" s="114" t="str">
        <f t="shared" si="12"/>
        <v>0:46 +</v>
      </c>
      <c r="AF13" s="101"/>
      <c r="AG13" s="96" t="s">
        <v>24</v>
      </c>
      <c r="AH13" s="97">
        <f t="shared" si="13"/>
        <v>3</v>
      </c>
      <c r="AI13" s="97">
        <f t="shared" si="14"/>
        <v>3</v>
      </c>
      <c r="AJ13" s="98">
        <f t="shared" si="15"/>
        <v>0</v>
      </c>
      <c r="AK13" s="97">
        <f t="shared" si="16"/>
        <v>1</v>
      </c>
      <c r="AL13" s="97">
        <f t="shared" si="16"/>
        <v>1</v>
      </c>
      <c r="AM13" s="97">
        <f t="shared" si="16"/>
        <v>1</v>
      </c>
      <c r="AN13" s="97" t="str">
        <f t="shared" si="16"/>
        <v>-</v>
      </c>
      <c r="AO13" s="97" t="str">
        <f t="shared" si="16"/>
        <v>-</v>
      </c>
    </row>
    <row r="14" spans="1:45" s="95" customFormat="1" ht="11.25" customHeight="1">
      <c r="A14" s="102">
        <f t="shared" si="17"/>
        <v>12</v>
      </c>
      <c r="B14" s="103" t="s">
        <v>37</v>
      </c>
      <c r="C14" s="135" t="str">
        <f t="shared" si="26"/>
        <v>Ritter, Sigrun</v>
      </c>
      <c r="D14" s="102" t="str">
        <f t="shared" si="1"/>
        <v>RS</v>
      </c>
      <c r="E14" s="103" t="s">
        <v>15</v>
      </c>
      <c r="F14" s="104">
        <v>3</v>
      </c>
      <c r="G14" s="102" t="str">
        <f t="shared" si="18"/>
        <v>SE3</v>
      </c>
      <c r="H14" s="102" t="str">
        <f t="shared" si="19"/>
        <v>SE3RS</v>
      </c>
      <c r="I14" s="105">
        <f t="shared" si="2"/>
        <v>3.7149999999999999</v>
      </c>
      <c r="J14" s="102">
        <f t="shared" si="27"/>
        <v>2</v>
      </c>
      <c r="K14" s="106">
        <f t="shared" si="3"/>
        <v>1.03384375</v>
      </c>
      <c r="L14" s="106">
        <f t="shared" si="4"/>
        <v>0.9</v>
      </c>
      <c r="M14" s="106">
        <f>VLOOKUP(O14-Parameters!$C$33,Zeit,2)</f>
        <v>1</v>
      </c>
      <c r="N14" s="84">
        <f t="shared" si="5"/>
        <v>0.93045937499999998</v>
      </c>
      <c r="O14" s="107">
        <f t="shared" si="20"/>
        <v>1.7822529577656567</v>
      </c>
      <c r="P14" s="108">
        <f>VLOOKUP(H14,TimeBasis!A:B,2,FALSE)*N14</f>
        <v>1.8363488071289062E-2</v>
      </c>
      <c r="Q14" s="137" t="str">
        <f t="shared" si="6"/>
        <v/>
      </c>
      <c r="R14" s="109">
        <f t="shared" si="7"/>
        <v>5.4922949218749999E-3</v>
      </c>
      <c r="S14" s="109" t="str">
        <f t="shared" si="24"/>
        <v/>
      </c>
      <c r="T14" s="110">
        <f t="shared" si="21"/>
        <v>1.7706481481481482</v>
      </c>
      <c r="U14" s="111">
        <v>1.9490740740740743E-2</v>
      </c>
      <c r="V14" s="111" t="s">
        <v>155</v>
      </c>
      <c r="W14" s="140">
        <f t="shared" si="22"/>
        <v>12</v>
      </c>
      <c r="X14" s="108" t="str">
        <f t="shared" si="8"/>
        <v>+1:37</v>
      </c>
      <c r="Y14" s="108" t="str">
        <f t="shared" si="23"/>
        <v>-15:05</v>
      </c>
      <c r="Z14" s="112">
        <f t="shared" si="9"/>
        <v>3.4</v>
      </c>
      <c r="AA14" s="113">
        <f t="shared" si="10"/>
        <v>45</v>
      </c>
      <c r="AB14" s="112">
        <f>IF(U14&gt;0,Z14+AA14*Climbfaktor/1000,VLOOKUP($E14,CoursesBasis!B$3:K$39,9,FALSE))</f>
        <v>3.7149999999999999</v>
      </c>
      <c r="AC14" s="114">
        <f t="shared" si="25"/>
        <v>5.2464981805493251E-3</v>
      </c>
      <c r="AD14" s="114">
        <f t="shared" si="11"/>
        <v>5.6386106922178365E-3</v>
      </c>
      <c r="AE14" s="114" t="str">
        <f t="shared" si="12"/>
        <v>0:13 +</v>
      </c>
      <c r="AF14" s="101"/>
      <c r="AG14" s="96" t="s">
        <v>25</v>
      </c>
      <c r="AH14" s="97">
        <f t="shared" si="13"/>
        <v>6</v>
      </c>
      <c r="AI14" s="97">
        <f t="shared" si="14"/>
        <v>6</v>
      </c>
      <c r="AJ14" s="98">
        <f t="shared" si="15"/>
        <v>0</v>
      </c>
      <c r="AK14" s="97">
        <f t="shared" si="16"/>
        <v>1</v>
      </c>
      <c r="AL14" s="97">
        <f t="shared" si="16"/>
        <v>1</v>
      </c>
      <c r="AM14" s="97">
        <f t="shared" si="16"/>
        <v>1</v>
      </c>
      <c r="AN14" s="97">
        <f t="shared" si="16"/>
        <v>1</v>
      </c>
      <c r="AO14" s="97">
        <f t="shared" si="16"/>
        <v>1</v>
      </c>
    </row>
    <row r="15" spans="1:45" s="95" customFormat="1" ht="11.25" customHeight="1">
      <c r="A15" s="102">
        <f t="shared" si="17"/>
        <v>13</v>
      </c>
      <c r="B15" s="103" t="s">
        <v>28</v>
      </c>
      <c r="C15" s="135" t="str">
        <f t="shared" si="26"/>
        <v>Ehrl, Lionel</v>
      </c>
      <c r="D15" s="102" t="str">
        <f t="shared" si="1"/>
        <v>EL</v>
      </c>
      <c r="E15" s="103" t="s">
        <v>15</v>
      </c>
      <c r="F15" s="104">
        <v>4</v>
      </c>
      <c r="G15" s="102" t="str">
        <f t="shared" si="18"/>
        <v>SE4</v>
      </c>
      <c r="H15" s="102" t="str">
        <f t="shared" si="19"/>
        <v>SE4EL</v>
      </c>
      <c r="I15" s="105">
        <f t="shared" si="2"/>
        <v>4.1499999999999995</v>
      </c>
      <c r="J15" s="102">
        <f t="shared" si="27"/>
        <v>3</v>
      </c>
      <c r="K15" s="106">
        <f t="shared" si="3"/>
        <v>1.0502380666666666</v>
      </c>
      <c r="L15" s="106">
        <f t="shared" si="4"/>
        <v>0.8</v>
      </c>
      <c r="M15" s="106">
        <f>VLOOKUP(O15-Parameters!$C$33,Zeit,2)</f>
        <v>1</v>
      </c>
      <c r="N15" s="84">
        <f t="shared" si="5"/>
        <v>0.84019045333333331</v>
      </c>
      <c r="O15" s="107">
        <f t="shared" si="20"/>
        <v>1.8006164458369458</v>
      </c>
      <c r="P15" s="108">
        <f>VLOOKUP(H15,TimeBasis!A:B,2,FALSE)*N15</f>
        <v>1.5254707918333332E-2</v>
      </c>
      <c r="Q15" s="137" t="str">
        <f t="shared" si="6"/>
        <v/>
      </c>
      <c r="R15" s="109">
        <f t="shared" si="7"/>
        <v>4.0842591481481481E-3</v>
      </c>
      <c r="S15" s="109" t="str">
        <f t="shared" si="24"/>
        <v/>
      </c>
      <c r="T15" s="110">
        <f t="shared" si="21"/>
        <v>1.7901388888888889</v>
      </c>
      <c r="U15" s="111">
        <v>1.6574074074074074E-2</v>
      </c>
      <c r="V15" s="111" t="s">
        <v>155</v>
      </c>
      <c r="W15" s="140">
        <f t="shared" si="22"/>
        <v>13</v>
      </c>
      <c r="X15" s="108" t="str">
        <f t="shared" si="8"/>
        <v>+1:54</v>
      </c>
      <c r="Y15" s="108" t="str">
        <f t="shared" si="23"/>
        <v>-13:11</v>
      </c>
      <c r="Z15" s="112">
        <f t="shared" si="9"/>
        <v>3.8</v>
      </c>
      <c r="AA15" s="113">
        <f t="shared" si="10"/>
        <v>50</v>
      </c>
      <c r="AB15" s="112">
        <f>IF(U15&gt;0,Z15+AA15*Climbfaktor/1000,VLOOKUP($E15,CoursesBasis!B$3:K$39,9,FALSE))</f>
        <v>4.1499999999999995</v>
      </c>
      <c r="AC15" s="114">
        <f t="shared" si="25"/>
        <v>3.993752788933512E-3</v>
      </c>
      <c r="AD15" s="114">
        <f t="shared" si="11"/>
        <v>4.7533898690337167E-3</v>
      </c>
      <c r="AE15" s="114" t="str">
        <f t="shared" si="12"/>
        <v>0:58 +</v>
      </c>
      <c r="AF15" s="101"/>
      <c r="AG15" s="96"/>
      <c r="AH15" s="96"/>
      <c r="AI15" s="93">
        <f>SUM(AI3:AI14)</f>
        <v>38</v>
      </c>
      <c r="AJ15" s="93">
        <f>SUM(AJ3:AJ14)</f>
        <v>0</v>
      </c>
      <c r="AK15" s="93">
        <f>SUM(AK3:AK14)</f>
        <v>12</v>
      </c>
      <c r="AL15" s="93">
        <f t="shared" ref="AL15:AO15" si="28">SUM(AL3:AL14)</f>
        <v>9</v>
      </c>
      <c r="AM15" s="93">
        <f t="shared" si="28"/>
        <v>9</v>
      </c>
      <c r="AN15" s="93">
        <f t="shared" si="28"/>
        <v>5</v>
      </c>
      <c r="AO15" s="93">
        <f t="shared" si="28"/>
        <v>2</v>
      </c>
    </row>
    <row r="16" spans="1:45" s="95" customFormat="1" ht="11.25" customHeight="1">
      <c r="A16" s="102">
        <f t="shared" si="17"/>
        <v>14</v>
      </c>
      <c r="B16" s="103" t="s">
        <v>30</v>
      </c>
      <c r="C16" s="135" t="str">
        <f t="shared" si="26"/>
        <v>Baath, Veikko</v>
      </c>
      <c r="D16" s="102" t="str">
        <f t="shared" si="1"/>
        <v>BV</v>
      </c>
      <c r="E16" s="103" t="s">
        <v>16</v>
      </c>
      <c r="F16" s="104">
        <v>3</v>
      </c>
      <c r="G16" s="102" t="str">
        <f t="shared" si="18"/>
        <v>SD3</v>
      </c>
      <c r="H16" s="102" t="str">
        <f t="shared" si="19"/>
        <v>SD3BV</v>
      </c>
      <c r="I16" s="105">
        <f t="shared" si="2"/>
        <v>5.69</v>
      </c>
      <c r="J16" s="102">
        <f t="shared" si="27"/>
        <v>3</v>
      </c>
      <c r="K16" s="106">
        <f t="shared" si="3"/>
        <v>1.0556346925</v>
      </c>
      <c r="L16" s="106">
        <f t="shared" si="4"/>
        <v>0.95</v>
      </c>
      <c r="M16" s="106">
        <f>VLOOKUP(O16-Parameters!$C$33,Zeit,2)</f>
        <v>1</v>
      </c>
      <c r="N16" s="84">
        <f t="shared" si="5"/>
        <v>1.0028529578749998</v>
      </c>
      <c r="O16" s="107">
        <f t="shared" si="20"/>
        <v>1.8158711537552792</v>
      </c>
      <c r="P16" s="108">
        <f>VLOOKUP(H16,TimeBasis!A:B,2,FALSE)*N16</f>
        <v>3.0050187098269454E-2</v>
      </c>
      <c r="Q16" s="137" t="str">
        <f t="shared" si="6"/>
        <v/>
      </c>
      <c r="R16" s="109">
        <f t="shared" si="7"/>
        <v>5.2812279610315385E-3</v>
      </c>
      <c r="S16" s="109" t="str">
        <f t="shared" si="24"/>
        <v/>
      </c>
      <c r="T16" s="110">
        <f t="shared" si="21"/>
        <v>1.806712962962963</v>
      </c>
      <c r="U16" s="111">
        <v>3.096064814814815E-2</v>
      </c>
      <c r="V16" s="111" t="s">
        <v>155</v>
      </c>
      <c r="W16" s="140">
        <f t="shared" si="22"/>
        <v>14</v>
      </c>
      <c r="X16" s="108" t="str">
        <f t="shared" si="8"/>
        <v>+1:19</v>
      </c>
      <c r="Y16" s="108" t="str">
        <f t="shared" si="23"/>
        <v>-11:53</v>
      </c>
      <c r="Z16" s="112">
        <f t="shared" si="9"/>
        <v>5.2</v>
      </c>
      <c r="AA16" s="113">
        <f t="shared" si="10"/>
        <v>70</v>
      </c>
      <c r="AB16" s="112">
        <f>IF(U16&gt;0,Z16+AA16*Climbfaktor/1000,VLOOKUP($E16,CoursesBasis!B$3:K$39,9,FALSE))</f>
        <v>5.69</v>
      </c>
      <c r="AC16" s="114">
        <f t="shared" si="25"/>
        <v>5.441238690359956E-3</v>
      </c>
      <c r="AD16" s="114">
        <f t="shared" si="11"/>
        <v>5.4257592278430279E-3</v>
      </c>
      <c r="AE16" s="114" t="str">
        <f t="shared" si="12"/>
        <v>0:12 +</v>
      </c>
      <c r="AF16" s="101"/>
    </row>
    <row r="17" spans="1:47" s="95" customFormat="1" ht="11.25" customHeight="1">
      <c r="A17" s="102">
        <f t="shared" si="17"/>
        <v>15</v>
      </c>
      <c r="B17" s="103" t="s">
        <v>32</v>
      </c>
      <c r="C17" s="135" t="str">
        <f t="shared" si="26"/>
        <v>Lexen, Gert</v>
      </c>
      <c r="D17" s="102" t="str">
        <f t="shared" si="1"/>
        <v>LG</v>
      </c>
      <c r="E17" s="103" t="s">
        <v>20</v>
      </c>
      <c r="F17" s="104">
        <v>1</v>
      </c>
      <c r="G17" s="102" t="str">
        <f t="shared" si="18"/>
        <v>LT1</v>
      </c>
      <c r="H17" s="102" t="str">
        <f t="shared" si="19"/>
        <v>LT1LG</v>
      </c>
      <c r="I17" s="105">
        <f t="shared" si="2"/>
        <v>7.8550000000000004</v>
      </c>
      <c r="J17" s="102">
        <f t="shared" si="27"/>
        <v>3</v>
      </c>
      <c r="K17" s="106">
        <f t="shared" si="3"/>
        <v>1.0545081599999999</v>
      </c>
      <c r="L17" s="106">
        <f t="shared" si="4"/>
        <v>0.9</v>
      </c>
      <c r="M17" s="106">
        <f>VLOOKUP(O17-Parameters!$C$33,Zeit,2)</f>
        <v>1.02</v>
      </c>
      <c r="N17" s="84">
        <f t="shared" si="5"/>
        <v>0.96803849087999994</v>
      </c>
      <c r="O17" s="107">
        <f t="shared" si="20"/>
        <v>1.8459213408535486</v>
      </c>
      <c r="P17" s="108">
        <f>VLOOKUP(H17,TimeBasis!A:B,2,FALSE)*N17</f>
        <v>4.0923995264190008E-2</v>
      </c>
      <c r="Q17" s="137" t="str">
        <f t="shared" si="6"/>
        <v/>
      </c>
      <c r="R17" s="109">
        <f t="shared" si="7"/>
        <v>5.2099293780000005E-3</v>
      </c>
      <c r="S17" s="109" t="str">
        <f t="shared" si="24"/>
        <v/>
      </c>
      <c r="T17" s="110">
        <f t="shared" si="21"/>
        <v>1.8376736111111112</v>
      </c>
      <c r="U17" s="111">
        <v>4.2187499999999996E-2</v>
      </c>
      <c r="V17" s="111" t="s">
        <v>155</v>
      </c>
      <c r="W17" s="140">
        <f t="shared" si="22"/>
        <v>15</v>
      </c>
      <c r="X17" s="108" t="str">
        <f t="shared" si="8"/>
        <v>+1:49</v>
      </c>
      <c r="Y17" s="108" t="str">
        <f t="shared" si="23"/>
        <v>-10:03</v>
      </c>
      <c r="Z17" s="112">
        <f t="shared" si="9"/>
        <v>6.7</v>
      </c>
      <c r="AA17" s="113">
        <f t="shared" si="10"/>
        <v>165</v>
      </c>
      <c r="AB17" s="112">
        <f>IF(U17&gt;0,Z17+AA17*Climbfaktor/1000,VLOOKUP($E17,CoursesBasis!B$3:K$39,9,FALSE))</f>
        <v>7.8550000000000004</v>
      </c>
      <c r="AC17" s="114">
        <f t="shared" si="25"/>
        <v>5.3707829408020363E-3</v>
      </c>
      <c r="AD17" s="114">
        <f t="shared" si="11"/>
        <v>5.548108873149972E-3</v>
      </c>
      <c r="AE17" s="114" t="str">
        <f t="shared" si="12"/>
        <v>0:29 +</v>
      </c>
      <c r="AF17" s="101"/>
      <c r="AG17" s="155" t="s">
        <v>43</v>
      </c>
      <c r="AH17" s="156"/>
      <c r="AI17" s="157"/>
      <c r="AJ17" s="93" t="s">
        <v>14</v>
      </c>
      <c r="AK17" s="93" t="s">
        <v>15</v>
      </c>
      <c r="AL17" s="93" t="s">
        <v>16</v>
      </c>
      <c r="AM17" s="93" t="s">
        <v>17</v>
      </c>
      <c r="AN17" s="93" t="s">
        <v>18</v>
      </c>
      <c r="AO17" s="93" t="s">
        <v>19</v>
      </c>
      <c r="AP17" s="93" t="s">
        <v>20</v>
      </c>
      <c r="AQ17" s="93" t="s">
        <v>21</v>
      </c>
      <c r="AR17" s="93" t="s">
        <v>22</v>
      </c>
      <c r="AS17" s="93" t="s">
        <v>23</v>
      </c>
      <c r="AT17" s="93" t="s">
        <v>24</v>
      </c>
      <c r="AU17" s="93" t="s">
        <v>25</v>
      </c>
    </row>
    <row r="18" spans="1:47" s="95" customFormat="1" ht="11.25" customHeight="1">
      <c r="A18" s="102">
        <f t="shared" si="17"/>
        <v>16</v>
      </c>
      <c r="B18" s="103" t="s">
        <v>34</v>
      </c>
      <c r="C18" s="135" t="str">
        <f t="shared" si="26"/>
        <v>Lorenz-Baath, Katrin</v>
      </c>
      <c r="D18" s="102" t="str">
        <f t="shared" si="1"/>
        <v>LK</v>
      </c>
      <c r="E18" s="103" t="s">
        <v>19</v>
      </c>
      <c r="F18" s="104">
        <v>1</v>
      </c>
      <c r="G18" s="102" t="str">
        <f t="shared" si="18"/>
        <v>ST1</v>
      </c>
      <c r="H18" s="102" t="str">
        <f t="shared" si="19"/>
        <v>ST1LK</v>
      </c>
      <c r="I18" s="105">
        <f t="shared" si="2"/>
        <v>4.88</v>
      </c>
      <c r="J18" s="102">
        <f t="shared" si="27"/>
        <v>3</v>
      </c>
      <c r="K18" s="106">
        <f t="shared" si="3"/>
        <v>1.0569752875</v>
      </c>
      <c r="L18" s="106">
        <f t="shared" si="4"/>
        <v>0.9</v>
      </c>
      <c r="M18" s="106">
        <f>VLOOKUP(O18-Parameters!$C$33,Zeit,2)</f>
        <v>1.07</v>
      </c>
      <c r="N18" s="84">
        <f t="shared" si="5"/>
        <v>1.0178672018625001</v>
      </c>
      <c r="O18" s="107">
        <f t="shared" si="20"/>
        <v>1.8868453361177386</v>
      </c>
      <c r="P18" s="108">
        <f>VLOOKUP(H18,TimeBasis!A:B,2,FALSE)*N18</f>
        <v>2.4835959725445004E-2</v>
      </c>
      <c r="Q18" s="137" t="str">
        <f t="shared" si="6"/>
        <v/>
      </c>
      <c r="R18" s="109">
        <f t="shared" si="7"/>
        <v>5.6548177881250005E-3</v>
      </c>
      <c r="S18" s="109" t="str">
        <f t="shared" si="24"/>
        <v/>
      </c>
      <c r="T18" s="110">
        <f t="shared" si="21"/>
        <v>1.8798611111111112</v>
      </c>
      <c r="U18" s="111">
        <v>2.736111111111111E-2</v>
      </c>
      <c r="V18" s="111" t="s">
        <v>155</v>
      </c>
      <c r="W18" s="140">
        <f t="shared" si="22"/>
        <v>16</v>
      </c>
      <c r="X18" s="108" t="str">
        <f t="shared" si="8"/>
        <v>+3:38</v>
      </c>
      <c r="Y18" s="108" t="str">
        <f t="shared" si="23"/>
        <v>-6:25</v>
      </c>
      <c r="Z18" s="112">
        <f t="shared" si="9"/>
        <v>4.5999999999999996</v>
      </c>
      <c r="AA18" s="113">
        <f t="shared" si="10"/>
        <v>40</v>
      </c>
      <c r="AB18" s="112">
        <f>IF(U18&gt;0,Z18+AA18*Climbfaktor/1000,VLOOKUP($E18,CoursesBasis!B$3:K$39,9,FALSE))</f>
        <v>4.88</v>
      </c>
      <c r="AC18" s="114">
        <f t="shared" si="25"/>
        <v>5.6067850637522764E-3</v>
      </c>
      <c r="AD18" s="114">
        <f t="shared" si="11"/>
        <v>5.5083659769102926E-3</v>
      </c>
      <c r="AE18" s="114" t="str">
        <f t="shared" si="12"/>
        <v>0:13 -</v>
      </c>
      <c r="AF18" s="101"/>
      <c r="AG18" s="158" t="str">
        <f t="shared" ref="AG18:AG23" si="29">C3</f>
        <v>Ehrl, Lionel</v>
      </c>
      <c r="AH18" s="159"/>
      <c r="AI18" s="160"/>
      <c r="AJ18" s="122">
        <f t="shared" ref="AJ18:AU23" si="30">IF(COUNTIFS($C:$C,$AG18,$E:$E,AJ$17)&gt;0,SUMIFS($U:$U,$C:$C,$AG18,$E:$E,AJ$17)/COUNTIFS($C:$C,$AG18,$E:$E,AJ$17),"")</f>
        <v>2.1388888888888888E-2</v>
      </c>
      <c r="AK18" s="122">
        <f t="shared" si="30"/>
        <v>1.6574074074074074E-2</v>
      </c>
      <c r="AL18" s="122" t="str">
        <f t="shared" si="30"/>
        <v/>
      </c>
      <c r="AM18" s="122" t="str">
        <f t="shared" si="30"/>
        <v/>
      </c>
      <c r="AN18" s="122">
        <f t="shared" si="30"/>
        <v>5.4270833333333331E-2</v>
      </c>
      <c r="AO18" s="122" t="str">
        <f t="shared" si="30"/>
        <v/>
      </c>
      <c r="AP18" s="122" t="str">
        <f t="shared" si="30"/>
        <v/>
      </c>
      <c r="AQ18" s="122" t="str">
        <f t="shared" si="30"/>
        <v/>
      </c>
      <c r="AR18" s="122">
        <f t="shared" si="30"/>
        <v>3.5486111111111114E-2</v>
      </c>
      <c r="AS18" s="122">
        <f t="shared" si="30"/>
        <v>4.612268518518519E-2</v>
      </c>
      <c r="AT18" s="122" t="str">
        <f t="shared" si="30"/>
        <v/>
      </c>
      <c r="AU18" s="122" t="str">
        <f t="shared" si="30"/>
        <v/>
      </c>
    </row>
    <row r="19" spans="1:47" s="95" customFormat="1" ht="11.25" customHeight="1">
      <c r="A19" s="102">
        <f t="shared" si="17"/>
        <v>17</v>
      </c>
      <c r="B19" s="103" t="s">
        <v>35</v>
      </c>
      <c r="C19" s="135" t="str">
        <f t="shared" si="26"/>
        <v>Lexen, Dieter</v>
      </c>
      <c r="D19" s="102" t="str">
        <f t="shared" si="1"/>
        <v>LD</v>
      </c>
      <c r="E19" s="103" t="s">
        <v>23</v>
      </c>
      <c r="F19" s="104">
        <v>1</v>
      </c>
      <c r="G19" s="102" t="str">
        <f t="shared" si="18"/>
        <v>LEN1</v>
      </c>
      <c r="H19" s="102" t="str">
        <f t="shared" si="19"/>
        <v>LEN1LD</v>
      </c>
      <c r="I19" s="105">
        <f t="shared" si="2"/>
        <v>7.71</v>
      </c>
      <c r="J19" s="102">
        <f t="shared" si="27"/>
        <v>3</v>
      </c>
      <c r="K19" s="106">
        <f t="shared" si="3"/>
        <v>1.05898618</v>
      </c>
      <c r="L19" s="106">
        <f t="shared" si="4"/>
        <v>1.05</v>
      </c>
      <c r="M19" s="106">
        <f>VLOOKUP(O19-Parameters!$C$33,Zeit,2)</f>
        <v>1.1200000000000001</v>
      </c>
      <c r="N19" s="84">
        <f t="shared" si="5"/>
        <v>1.24536774768</v>
      </c>
      <c r="O19" s="107">
        <f t="shared" si="20"/>
        <v>1.9116812958431837</v>
      </c>
      <c r="P19" s="108">
        <f>VLOOKUP(H19,TimeBasis!A:B,2,FALSE)*N19</f>
        <v>5.1676275238367507E-2</v>
      </c>
      <c r="Q19" s="137" t="str">
        <f t="shared" si="6"/>
        <v/>
      </c>
      <c r="R19" s="109">
        <f t="shared" si="7"/>
        <v>6.7025000309166678E-3</v>
      </c>
      <c r="S19" s="109" t="str">
        <f t="shared" si="24"/>
        <v/>
      </c>
      <c r="T19" s="110">
        <f t="shared" si="21"/>
        <v>1.9072222222222224</v>
      </c>
      <c r="U19" s="111">
        <v>5.8090277777777775E-2</v>
      </c>
      <c r="V19" s="111" t="s">
        <v>155</v>
      </c>
      <c r="W19" s="140">
        <f t="shared" si="22"/>
        <v>17</v>
      </c>
      <c r="X19" s="108" t="str">
        <f t="shared" si="8"/>
        <v>+9:14</v>
      </c>
      <c r="Y19" s="108" t="str">
        <f t="shared" si="23"/>
        <v>+2:49</v>
      </c>
      <c r="Z19" s="112">
        <f t="shared" si="9"/>
        <v>6.8</v>
      </c>
      <c r="AA19" s="113">
        <f t="shared" si="10"/>
        <v>130</v>
      </c>
      <c r="AB19" s="112">
        <f>IF(U19&gt;0,Z19+AA19*Climbfaktor/1000,VLOOKUP($E19,CoursesBasis!B$3:K$39,9,FALSE))</f>
        <v>7.71</v>
      </c>
      <c r="AC19" s="114">
        <f t="shared" si="25"/>
        <v>7.5344069750684535E-3</v>
      </c>
      <c r="AD19" s="114">
        <f t="shared" si="11"/>
        <v>6.0499454792404305E-3</v>
      </c>
      <c r="AE19" s="114" t="str">
        <f t="shared" si="12"/>
        <v>0:56 -</v>
      </c>
      <c r="AF19" s="101"/>
      <c r="AG19" s="158" t="str">
        <f t="shared" si="29"/>
        <v>Baath, Veikko</v>
      </c>
      <c r="AH19" s="159"/>
      <c r="AI19" s="160"/>
      <c r="AJ19" s="122" t="str">
        <f t="shared" si="30"/>
        <v/>
      </c>
      <c r="AK19" s="122" t="str">
        <f t="shared" si="30"/>
        <v/>
      </c>
      <c r="AL19" s="122">
        <f t="shared" si="30"/>
        <v>3.096064814814815E-2</v>
      </c>
      <c r="AM19" s="122">
        <f t="shared" si="30"/>
        <v>4.3159722222222224E-2</v>
      </c>
      <c r="AN19" s="122" t="str">
        <f t="shared" si="30"/>
        <v/>
      </c>
      <c r="AO19" s="122" t="str">
        <f t="shared" si="30"/>
        <v/>
      </c>
      <c r="AP19" s="122" t="str">
        <f t="shared" si="30"/>
        <v/>
      </c>
      <c r="AQ19" s="122" t="str">
        <f t="shared" si="30"/>
        <v/>
      </c>
      <c r="AR19" s="122">
        <f t="shared" si="30"/>
        <v>3.2569444444444443E-2</v>
      </c>
      <c r="AS19" s="122">
        <f t="shared" si="30"/>
        <v>5.1747685185185188E-2</v>
      </c>
      <c r="AT19" s="122" t="str">
        <f t="shared" si="30"/>
        <v/>
      </c>
      <c r="AU19" s="122" t="str">
        <f t="shared" si="30"/>
        <v/>
      </c>
    </row>
    <row r="20" spans="1:47" s="95" customFormat="1" ht="11.25" customHeight="1">
      <c r="A20" s="102">
        <f t="shared" si="17"/>
        <v>18</v>
      </c>
      <c r="B20" s="103" t="s">
        <v>37</v>
      </c>
      <c r="C20" s="135" t="str">
        <f t="shared" si="26"/>
        <v>Ritter, Sigrun</v>
      </c>
      <c r="D20" s="102" t="str">
        <f t="shared" si="1"/>
        <v>RS</v>
      </c>
      <c r="E20" s="103" t="s">
        <v>21</v>
      </c>
      <c r="F20" s="104">
        <v>3</v>
      </c>
      <c r="G20" s="102" t="str">
        <f t="shared" si="18"/>
        <v>SEN3</v>
      </c>
      <c r="H20" s="102" t="str">
        <f t="shared" si="19"/>
        <v>SEN3RS</v>
      </c>
      <c r="I20" s="105">
        <f t="shared" si="2"/>
        <v>3.4800000000000004</v>
      </c>
      <c r="J20" s="102">
        <f t="shared" si="27"/>
        <v>3</v>
      </c>
      <c r="K20" s="106">
        <f t="shared" si="3"/>
        <v>1.0643031250000001</v>
      </c>
      <c r="L20" s="106">
        <f t="shared" si="4"/>
        <v>1.1000000000000001</v>
      </c>
      <c r="M20" s="106">
        <f>VLOOKUP(O20-Parameters!$C$33,Zeit,2)</f>
        <v>1.1200000000000001</v>
      </c>
      <c r="N20" s="84">
        <f t="shared" si="5"/>
        <v>1.3112214500000003</v>
      </c>
      <c r="O20" s="107">
        <f t="shared" si="20"/>
        <v>1.9633575710815512</v>
      </c>
      <c r="P20" s="108">
        <f>VLOOKUP(H20,TimeBasis!A:B,2,FALSE)*N20</f>
        <v>2.4241206556875013E-2</v>
      </c>
      <c r="Q20" s="137" t="str">
        <f t="shared" si="6"/>
        <v/>
      </c>
      <c r="R20" s="109">
        <f t="shared" si="7"/>
        <v>7.7398488368055577E-3</v>
      </c>
      <c r="S20" s="109" t="str">
        <f t="shared" si="24"/>
        <v/>
      </c>
      <c r="T20" s="110">
        <f t="shared" si="21"/>
        <v>1.9653125000000002</v>
      </c>
      <c r="U20" s="111">
        <v>2.0324074074074074E-2</v>
      </c>
      <c r="V20" s="111" t="s">
        <v>155</v>
      </c>
      <c r="W20" s="140">
        <f t="shared" si="22"/>
        <v>18</v>
      </c>
      <c r="X20" s="108" t="str">
        <f t="shared" si="8"/>
        <v>-5:38</v>
      </c>
      <c r="Y20" s="108" t="str">
        <f t="shared" si="23"/>
        <v>-2:50</v>
      </c>
      <c r="Z20" s="112">
        <f t="shared" si="9"/>
        <v>3.2</v>
      </c>
      <c r="AA20" s="113">
        <f t="shared" si="10"/>
        <v>40</v>
      </c>
      <c r="AB20" s="112">
        <f>IF(U20&gt;0,Z20+AA20*Climbfaktor/1000,VLOOKUP($E20,CoursesBasis!B$3:K$39,9,FALSE))</f>
        <v>3.4800000000000004</v>
      </c>
      <c r="AC20" s="114">
        <f t="shared" si="25"/>
        <v>5.8402511707109405E-3</v>
      </c>
      <c r="AD20" s="114">
        <f t="shared" si="11"/>
        <v>4.4540540201740437E-3</v>
      </c>
      <c r="AE20" s="114" t="str">
        <f t="shared" si="12"/>
        <v>4:44 -</v>
      </c>
      <c r="AF20" s="101"/>
      <c r="AG20" s="158" t="str">
        <f t="shared" si="29"/>
        <v>Lexen, Gert</v>
      </c>
      <c r="AH20" s="159"/>
      <c r="AI20" s="160"/>
      <c r="AJ20" s="122" t="str">
        <f t="shared" si="30"/>
        <v/>
      </c>
      <c r="AK20" s="122" t="str">
        <f t="shared" si="30"/>
        <v/>
      </c>
      <c r="AL20" s="122">
        <f t="shared" si="30"/>
        <v>3.4178240740740738E-2</v>
      </c>
      <c r="AM20" s="122">
        <f t="shared" si="30"/>
        <v>3.9340277777777773E-2</v>
      </c>
      <c r="AN20" s="122" t="str">
        <f t="shared" si="30"/>
        <v/>
      </c>
      <c r="AO20" s="122" t="str">
        <f t="shared" si="30"/>
        <v/>
      </c>
      <c r="AP20" s="122">
        <f t="shared" si="30"/>
        <v>4.2187499999999996E-2</v>
      </c>
      <c r="AQ20" s="122">
        <f t="shared" si="30"/>
        <v>2.1342592592592594E-2</v>
      </c>
      <c r="AR20" s="122" t="str">
        <f t="shared" si="30"/>
        <v/>
      </c>
      <c r="AS20" s="122" t="str">
        <f t="shared" si="30"/>
        <v/>
      </c>
      <c r="AT20" s="122">
        <f t="shared" si="30"/>
        <v>6.21875E-2</v>
      </c>
      <c r="AU20" s="122" t="str">
        <f t="shared" si="30"/>
        <v/>
      </c>
    </row>
    <row r="21" spans="1:47" s="95" customFormat="1" ht="11.25" customHeight="1">
      <c r="A21" s="102">
        <f t="shared" si="17"/>
        <v>19</v>
      </c>
      <c r="B21" s="103" t="s">
        <v>28</v>
      </c>
      <c r="C21" s="135" t="str">
        <f t="shared" si="26"/>
        <v>Ehrl, Lionel</v>
      </c>
      <c r="D21" s="102" t="str">
        <f t="shared" si="1"/>
        <v>EL</v>
      </c>
      <c r="E21" s="103" t="s">
        <v>23</v>
      </c>
      <c r="F21" s="104">
        <v>3</v>
      </c>
      <c r="G21" s="102" t="str">
        <f t="shared" si="18"/>
        <v>LEN3</v>
      </c>
      <c r="H21" s="102" t="str">
        <f t="shared" si="19"/>
        <v>LEN3EL</v>
      </c>
      <c r="I21" s="105">
        <f t="shared" si="2"/>
        <v>8.120000000000001</v>
      </c>
      <c r="J21" s="102">
        <f t="shared" si="27"/>
        <v>4</v>
      </c>
      <c r="K21" s="106">
        <f t="shared" si="3"/>
        <v>1.0685749610000002</v>
      </c>
      <c r="L21" s="106">
        <f t="shared" si="4"/>
        <v>1</v>
      </c>
      <c r="M21" s="106">
        <f>VLOOKUP(O21-Parameters!$C$33,Zeit,2)</f>
        <v>1.1200000000000001</v>
      </c>
      <c r="N21" s="84">
        <f t="shared" si="5"/>
        <v>1.1968039563200004</v>
      </c>
      <c r="O21" s="107">
        <f t="shared" si="20"/>
        <v>1.9875987776384263</v>
      </c>
      <c r="P21" s="108">
        <f>VLOOKUP(H21,TimeBasis!A:B,2,FALSE)*N21</f>
        <v>4.7240511720297799E-2</v>
      </c>
      <c r="Q21" s="137" t="str">
        <f t="shared" si="6"/>
        <v/>
      </c>
      <c r="R21" s="109">
        <f t="shared" si="7"/>
        <v>5.8177970098888905E-3</v>
      </c>
      <c r="S21" s="109" t="str">
        <f t="shared" si="24"/>
        <v/>
      </c>
      <c r="T21" s="110">
        <f t="shared" si="21"/>
        <v>1.9856365740740742</v>
      </c>
      <c r="U21" s="111">
        <v>4.612268518518519E-2</v>
      </c>
      <c r="V21" s="111" t="s">
        <v>155</v>
      </c>
      <c r="W21" s="140">
        <f t="shared" si="22"/>
        <v>19</v>
      </c>
      <c r="X21" s="108" t="str">
        <f t="shared" si="8"/>
        <v>-1:37</v>
      </c>
      <c r="Y21" s="108" t="str">
        <f t="shared" si="23"/>
        <v>-4:26</v>
      </c>
      <c r="Z21" s="112">
        <f t="shared" si="9"/>
        <v>7</v>
      </c>
      <c r="AA21" s="113">
        <f t="shared" si="10"/>
        <v>160</v>
      </c>
      <c r="AB21" s="112">
        <f>IF(U21&gt;0,Z21+AA21*Climbfaktor/1000,VLOOKUP($E21,CoursesBasis!B$3:K$39,9,FALSE))</f>
        <v>8.120000000000001</v>
      </c>
      <c r="AC21" s="114">
        <f t="shared" si="25"/>
        <v>5.680133643495712E-3</v>
      </c>
      <c r="AD21" s="114">
        <f t="shared" si="11"/>
        <v>4.7460852828071394E-3</v>
      </c>
      <c r="AE21" s="114" t="str">
        <f t="shared" si="12"/>
        <v>1:33 -</v>
      </c>
      <c r="AF21" s="101"/>
      <c r="AG21" s="158" t="str">
        <f t="shared" si="29"/>
        <v>Lorenz-Baath, Katrin</v>
      </c>
      <c r="AH21" s="159"/>
      <c r="AI21" s="160"/>
      <c r="AJ21" s="122" t="str">
        <f t="shared" si="30"/>
        <v/>
      </c>
      <c r="AK21" s="122">
        <f t="shared" si="30"/>
        <v>1.8807870370370371E-2</v>
      </c>
      <c r="AL21" s="122">
        <f t="shared" si="30"/>
        <v>3.1909722222222221E-2</v>
      </c>
      <c r="AM21" s="122" t="str">
        <f t="shared" si="30"/>
        <v/>
      </c>
      <c r="AN21" s="122" t="str">
        <f t="shared" si="30"/>
        <v/>
      </c>
      <c r="AO21" s="122">
        <f t="shared" si="30"/>
        <v>2.736111111111111E-2</v>
      </c>
      <c r="AP21" s="122" t="str">
        <f t="shared" si="30"/>
        <v/>
      </c>
      <c r="AQ21" s="122">
        <f t="shared" si="30"/>
        <v>2.3182870370370371E-2</v>
      </c>
      <c r="AR21" s="122">
        <f t="shared" si="30"/>
        <v>3.0451388888888889E-2</v>
      </c>
      <c r="AS21" s="122" t="str">
        <f t="shared" si="30"/>
        <v/>
      </c>
      <c r="AT21" s="122" t="str">
        <f t="shared" si="30"/>
        <v/>
      </c>
      <c r="AU21" s="122" t="str">
        <f t="shared" si="30"/>
        <v/>
      </c>
    </row>
    <row r="22" spans="1:47" s="95" customFormat="1" ht="11.25" customHeight="1">
      <c r="A22" s="102">
        <f t="shared" si="17"/>
        <v>20</v>
      </c>
      <c r="B22" s="103" t="s">
        <v>30</v>
      </c>
      <c r="C22" s="135" t="str">
        <f t="shared" si="26"/>
        <v>Baath, Veikko</v>
      </c>
      <c r="D22" s="102" t="str">
        <f t="shared" si="1"/>
        <v>BV</v>
      </c>
      <c r="E22" s="103" t="s">
        <v>23</v>
      </c>
      <c r="F22" s="104">
        <v>2</v>
      </c>
      <c r="G22" s="102" t="str">
        <f t="shared" si="18"/>
        <v>LEN2</v>
      </c>
      <c r="H22" s="102" t="str">
        <f t="shared" si="19"/>
        <v>LEN2BV</v>
      </c>
      <c r="I22" s="105">
        <f t="shared" si="2"/>
        <v>7.33</v>
      </c>
      <c r="J22" s="102">
        <f t="shared" si="27"/>
        <v>4</v>
      </c>
      <c r="K22" s="106">
        <f t="shared" si="3"/>
        <v>1.0776103960374999</v>
      </c>
      <c r="L22" s="106">
        <f t="shared" si="4"/>
        <v>0.95</v>
      </c>
      <c r="M22" s="106">
        <f>VLOOKUP(O22-Parameters!$C$33,Zeit,2)</f>
        <v>1.1200000000000001</v>
      </c>
      <c r="N22" s="84">
        <f t="shared" si="5"/>
        <v>1.1465774613838999</v>
      </c>
      <c r="O22" s="107">
        <f t="shared" si="20"/>
        <v>2.0348392893587239</v>
      </c>
      <c r="P22" s="108">
        <f>VLOOKUP(H22,TimeBasis!A:B,2,FALSE)*N22</f>
        <v>4.4259349772390204E-2</v>
      </c>
      <c r="Q22" s="137" t="str">
        <f t="shared" si="6"/>
        <v/>
      </c>
      <c r="R22" s="109">
        <f t="shared" si="7"/>
        <v>6.0381104737230835E-3</v>
      </c>
      <c r="S22" s="109" t="str">
        <f t="shared" si="24"/>
        <v/>
      </c>
      <c r="T22" s="110">
        <f t="shared" si="21"/>
        <v>2.0317592592592595</v>
      </c>
      <c r="U22" s="111">
        <v>5.1747685185185188E-2</v>
      </c>
      <c r="V22" s="111" t="s">
        <v>155</v>
      </c>
      <c r="W22" s="140">
        <f t="shared" si="22"/>
        <v>20</v>
      </c>
      <c r="X22" s="108" t="str">
        <f t="shared" si="8"/>
        <v>+10:47</v>
      </c>
      <c r="Y22" s="108" t="str">
        <f t="shared" si="23"/>
        <v>+6:21</v>
      </c>
      <c r="Z22" s="112">
        <f t="shared" si="9"/>
        <v>6.7</v>
      </c>
      <c r="AA22" s="113">
        <f t="shared" si="10"/>
        <v>90</v>
      </c>
      <c r="AB22" s="112">
        <f>IF(U22&gt;0,Z22+AA22*Climbfaktor/1000,VLOOKUP($E22,CoursesBasis!B$3:K$39,9,FALSE))</f>
        <v>7.33</v>
      </c>
      <c r="AC22" s="114">
        <f t="shared" si="25"/>
        <v>7.0597114850184427E-3</v>
      </c>
      <c r="AD22" s="114">
        <f t="shared" si="11"/>
        <v>6.1572041338554557E-3</v>
      </c>
      <c r="AE22" s="114" t="str">
        <f t="shared" si="12"/>
        <v>0:10 +</v>
      </c>
      <c r="AF22" s="101"/>
      <c r="AG22" s="158" t="str">
        <f t="shared" si="29"/>
        <v>Lexen, Dieter</v>
      </c>
      <c r="AH22" s="159"/>
      <c r="AI22" s="160"/>
      <c r="AJ22" s="122" t="str">
        <f t="shared" si="30"/>
        <v/>
      </c>
      <c r="AK22" s="122" t="str">
        <f t="shared" si="30"/>
        <v/>
      </c>
      <c r="AL22" s="122">
        <f t="shared" si="30"/>
        <v>3.9340277777777773E-2</v>
      </c>
      <c r="AM22" s="122">
        <f t="shared" si="30"/>
        <v>4.6759259259259257E-2</v>
      </c>
      <c r="AN22" s="122" t="str">
        <f t="shared" si="30"/>
        <v/>
      </c>
      <c r="AO22" s="122" t="str">
        <f t="shared" si="30"/>
        <v/>
      </c>
      <c r="AP22" s="122" t="str">
        <f t="shared" si="30"/>
        <v/>
      </c>
      <c r="AQ22" s="122">
        <f t="shared" si="30"/>
        <v>2.631944444444444E-2</v>
      </c>
      <c r="AR22" s="122" t="str">
        <f t="shared" si="30"/>
        <v/>
      </c>
      <c r="AS22" s="122">
        <f t="shared" si="30"/>
        <v>5.8090277777777775E-2</v>
      </c>
      <c r="AT22" s="122" t="str">
        <f t="shared" si="30"/>
        <v/>
      </c>
      <c r="AU22" s="122" t="str">
        <f t="shared" si="30"/>
        <v/>
      </c>
    </row>
    <row r="23" spans="1:47" s="95" customFormat="1" ht="11.25" customHeight="1">
      <c r="A23" s="102">
        <f t="shared" si="17"/>
        <v>21</v>
      </c>
      <c r="B23" s="103" t="s">
        <v>32</v>
      </c>
      <c r="C23" s="135" t="str">
        <f t="shared" si="26"/>
        <v>Lexen, Gert</v>
      </c>
      <c r="D23" s="102" t="str">
        <f t="shared" si="1"/>
        <v>LG</v>
      </c>
      <c r="E23" s="103" t="s">
        <v>21</v>
      </c>
      <c r="F23" s="104">
        <v>2</v>
      </c>
      <c r="G23" s="102" t="str">
        <f t="shared" si="18"/>
        <v>SEN2</v>
      </c>
      <c r="H23" s="102" t="str">
        <f t="shared" si="19"/>
        <v>SEN2LG</v>
      </c>
      <c r="I23" s="105">
        <f t="shared" si="2"/>
        <v>3.51</v>
      </c>
      <c r="J23" s="102">
        <f t="shared" si="27"/>
        <v>4</v>
      </c>
      <c r="K23" s="106">
        <f t="shared" si="3"/>
        <v>1.0752212608</v>
      </c>
      <c r="L23" s="106">
        <f t="shared" si="4"/>
        <v>0.9</v>
      </c>
      <c r="M23" s="106">
        <f>VLOOKUP(O23-Parameters!$C$33,Zeit,2)</f>
        <v>1.1200000000000001</v>
      </c>
      <c r="N23" s="84">
        <f t="shared" si="5"/>
        <v>1.0838230308864001</v>
      </c>
      <c r="O23" s="107">
        <f t="shared" si="20"/>
        <v>2.0790986391311139</v>
      </c>
      <c r="P23" s="108">
        <f>VLOOKUP(H23,TimeBasis!A:B,2,FALSE)*N23</f>
        <v>1.8426684998554564E-2</v>
      </c>
      <c r="Q23" s="137" t="str">
        <f t="shared" si="6"/>
        <v/>
      </c>
      <c r="R23" s="109">
        <f t="shared" si="7"/>
        <v>5.8330753398400017E-3</v>
      </c>
      <c r="S23" s="109" t="str">
        <f t="shared" si="24"/>
        <v/>
      </c>
      <c r="T23" s="110">
        <f t="shared" si="21"/>
        <v>2.0835069444444447</v>
      </c>
      <c r="U23" s="111">
        <v>2.1342592592592594E-2</v>
      </c>
      <c r="V23" s="111" t="s">
        <v>155</v>
      </c>
      <c r="W23" s="140">
        <f t="shared" si="22"/>
        <v>21</v>
      </c>
      <c r="X23" s="108" t="str">
        <f t="shared" si="8"/>
        <v>+4:12</v>
      </c>
      <c r="Y23" s="108" t="str">
        <f t="shared" si="23"/>
        <v>+10:33</v>
      </c>
      <c r="Z23" s="112">
        <f t="shared" si="9"/>
        <v>3.3</v>
      </c>
      <c r="AA23" s="113">
        <f t="shared" si="10"/>
        <v>30</v>
      </c>
      <c r="AB23" s="112">
        <f>IF(U23&gt;0,Z23+AA23*Climbfaktor/1000,VLOOKUP($E23,CoursesBasis!B$3:K$39,9,FALSE))</f>
        <v>3.51</v>
      </c>
      <c r="AC23" s="114">
        <f t="shared" si="25"/>
        <v>6.0805107101403405E-3</v>
      </c>
      <c r="AD23" s="114">
        <f t="shared" si="11"/>
        <v>5.6102431272081572E-3</v>
      </c>
      <c r="AE23" s="114" t="str">
        <f t="shared" si="12"/>
        <v>0:19 -</v>
      </c>
      <c r="AF23" s="101"/>
      <c r="AG23" s="158" t="str">
        <f t="shared" si="29"/>
        <v>Ritter, Sigrun</v>
      </c>
      <c r="AH23" s="159"/>
      <c r="AI23" s="160"/>
      <c r="AJ23" s="122" t="str">
        <f t="shared" si="30"/>
        <v/>
      </c>
      <c r="AK23" s="122">
        <f t="shared" si="30"/>
        <v>2.1412037037037038E-2</v>
      </c>
      <c r="AL23" s="122" t="str">
        <f t="shared" si="30"/>
        <v/>
      </c>
      <c r="AM23" s="122" t="str">
        <f t="shared" si="30"/>
        <v/>
      </c>
      <c r="AN23" s="122" t="str">
        <f t="shared" si="30"/>
        <v/>
      </c>
      <c r="AO23" s="122" t="str">
        <f t="shared" si="30"/>
        <v/>
      </c>
      <c r="AP23" s="122" t="str">
        <f t="shared" si="30"/>
        <v/>
      </c>
      <c r="AQ23" s="122">
        <f t="shared" si="30"/>
        <v>2.2233796296296297E-2</v>
      </c>
      <c r="AR23" s="122" t="str">
        <f t="shared" si="30"/>
        <v/>
      </c>
      <c r="AS23" s="122" t="str">
        <f t="shared" si="30"/>
        <v/>
      </c>
      <c r="AT23" s="122" t="str">
        <f t="shared" si="30"/>
        <v/>
      </c>
      <c r="AU23" s="122" t="str">
        <f t="shared" si="30"/>
        <v/>
      </c>
    </row>
    <row r="24" spans="1:47" s="95" customFormat="1" ht="11.25" customHeight="1">
      <c r="A24" s="102">
        <f t="shared" si="17"/>
        <v>22</v>
      </c>
      <c r="B24" s="103" t="s">
        <v>34</v>
      </c>
      <c r="C24" s="135" t="str">
        <f t="shared" si="26"/>
        <v>Lorenz-Baath, Katrin</v>
      </c>
      <c r="D24" s="102" t="str">
        <f t="shared" si="1"/>
        <v>LK</v>
      </c>
      <c r="E24" s="103" t="s">
        <v>21</v>
      </c>
      <c r="F24" s="104">
        <v>1</v>
      </c>
      <c r="G24" s="102" t="str">
        <f t="shared" si="18"/>
        <v>SEN1</v>
      </c>
      <c r="H24" s="102" t="str">
        <f t="shared" si="19"/>
        <v>SEN1LK</v>
      </c>
      <c r="I24" s="105">
        <f t="shared" si="2"/>
        <v>3.82</v>
      </c>
      <c r="J24" s="102">
        <f t="shared" si="27"/>
        <v>4</v>
      </c>
      <c r="K24" s="106">
        <f t="shared" si="3"/>
        <v>1.0794805260625</v>
      </c>
      <c r="L24" s="106">
        <f t="shared" si="4"/>
        <v>0.9</v>
      </c>
      <c r="M24" s="106">
        <f>VLOOKUP(O24-Parameters!$C$33,Zeit,2)</f>
        <v>1.1200000000000001</v>
      </c>
      <c r="N24" s="84">
        <f t="shared" si="5"/>
        <v>1.0881163702710002</v>
      </c>
      <c r="O24" s="107">
        <f t="shared" si="20"/>
        <v>2.0975253241296685</v>
      </c>
      <c r="P24" s="108">
        <f>VLOOKUP(H24,TimeBasis!A:B,2,FALSE)*N24</f>
        <v>2.0783022672176101E-2</v>
      </c>
      <c r="Q24" s="137" t="str">
        <f t="shared" si="6"/>
        <v/>
      </c>
      <c r="R24" s="109">
        <f t="shared" si="7"/>
        <v>6.045090945950001E-3</v>
      </c>
      <c r="S24" s="109" t="str">
        <f t="shared" si="24"/>
        <v/>
      </c>
      <c r="T24" s="110">
        <f t="shared" si="21"/>
        <v>2.1048495370370373</v>
      </c>
      <c r="U24" s="111">
        <v>2.3182870370370371E-2</v>
      </c>
      <c r="V24" s="111" t="s">
        <v>155</v>
      </c>
      <c r="W24" s="140">
        <f t="shared" si="22"/>
        <v>22</v>
      </c>
      <c r="X24" s="108" t="str">
        <f t="shared" si="8"/>
        <v>+3:27</v>
      </c>
      <c r="Y24" s="108" t="str">
        <f t="shared" si="23"/>
        <v>+14:00</v>
      </c>
      <c r="Z24" s="112">
        <f t="shared" si="9"/>
        <v>3.4</v>
      </c>
      <c r="AA24" s="113">
        <f t="shared" si="10"/>
        <v>60</v>
      </c>
      <c r="AB24" s="112">
        <f>IF(U24&gt;0,Z24+AA24*Climbfaktor/1000,VLOOKUP($E24,CoursesBasis!B$3:K$39,9,FALSE))</f>
        <v>3.82</v>
      </c>
      <c r="AC24" s="114">
        <f t="shared" si="25"/>
        <v>6.0688142330812492E-3</v>
      </c>
      <c r="AD24" s="114">
        <f t="shared" si="11"/>
        <v>5.5773577154893681E-3</v>
      </c>
      <c r="AE24" s="114" t="str">
        <f t="shared" si="12"/>
        <v>0:40 -</v>
      </c>
      <c r="AF24" s="101"/>
    </row>
    <row r="25" spans="1:47" s="95" customFormat="1" ht="11.25" customHeight="1">
      <c r="A25" s="102">
        <f t="shared" si="17"/>
        <v>23</v>
      </c>
      <c r="B25" s="103" t="s">
        <v>35</v>
      </c>
      <c r="C25" s="135" t="str">
        <f t="shared" si="26"/>
        <v>Lexen, Dieter</v>
      </c>
      <c r="D25" s="102" t="str">
        <f t="shared" si="1"/>
        <v>LD</v>
      </c>
      <c r="E25" s="103" t="s">
        <v>21</v>
      </c>
      <c r="F25" s="104">
        <v>4</v>
      </c>
      <c r="G25" s="102" t="str">
        <f t="shared" si="18"/>
        <v>SEN4</v>
      </c>
      <c r="H25" s="102" t="str">
        <f t="shared" si="19"/>
        <v>SEN4LD</v>
      </c>
      <c r="I25" s="105">
        <f t="shared" si="2"/>
        <v>3.6550000000000002</v>
      </c>
      <c r="J25" s="102">
        <f t="shared" si="27"/>
        <v>4</v>
      </c>
      <c r="K25" s="106">
        <f t="shared" si="3"/>
        <v>1.0822857211000001</v>
      </c>
      <c r="L25" s="106">
        <f t="shared" si="4"/>
        <v>0.9</v>
      </c>
      <c r="M25" s="106">
        <f>VLOOKUP(O25-Parameters!$C$33,Zeit,2)</f>
        <v>1.1200000000000001</v>
      </c>
      <c r="N25" s="84">
        <f t="shared" si="5"/>
        <v>1.0909440068688001</v>
      </c>
      <c r="O25" s="107">
        <f t="shared" si="20"/>
        <v>2.1183083468018444</v>
      </c>
      <c r="P25" s="108">
        <f>VLOOKUP(H25,TimeBasis!A:B,2,FALSE)*N25</f>
        <v>1.9313970421604598E-2</v>
      </c>
      <c r="Q25" s="137" t="str">
        <f t="shared" si="6"/>
        <v/>
      </c>
      <c r="R25" s="109">
        <f t="shared" si="7"/>
        <v>5.8714000369675017E-3</v>
      </c>
      <c r="S25" s="109" t="str">
        <f t="shared" si="24"/>
        <v/>
      </c>
      <c r="T25" s="110">
        <f t="shared" si="21"/>
        <v>2.1280324074074075</v>
      </c>
      <c r="U25" s="111">
        <v>2.631944444444444E-2</v>
      </c>
      <c r="V25" s="111" t="s">
        <v>155</v>
      </c>
      <c r="W25" s="140">
        <f t="shared" si="22"/>
        <v>23</v>
      </c>
      <c r="X25" s="108" t="str">
        <f t="shared" si="8"/>
        <v>+10:05</v>
      </c>
      <c r="Y25" s="108" t="str">
        <f t="shared" si="23"/>
        <v>+24:05</v>
      </c>
      <c r="Z25" s="112">
        <f t="shared" si="9"/>
        <v>3.2</v>
      </c>
      <c r="AA25" s="113">
        <f t="shared" si="10"/>
        <v>65</v>
      </c>
      <c r="AB25" s="112">
        <f>IF(U25&gt;0,Z25+AA25*Climbfaktor/1000,VLOOKUP($E25,CoursesBasis!B$3:K$39,9,FALSE))</f>
        <v>3.6550000000000002</v>
      </c>
      <c r="AC25" s="114">
        <f t="shared" si="25"/>
        <v>7.2009423924608591E-3</v>
      </c>
      <c r="AD25" s="114">
        <f t="shared" si="11"/>
        <v>6.600652597312324E-3</v>
      </c>
      <c r="AE25" s="114" t="str">
        <f t="shared" si="12"/>
        <v>1:03 +</v>
      </c>
      <c r="AF25" s="101"/>
    </row>
    <row r="26" spans="1:47" s="95" customFormat="1" ht="11.25" customHeight="1">
      <c r="A26" s="102">
        <f t="shared" si="17"/>
        <v>24</v>
      </c>
      <c r="B26" s="103" t="s">
        <v>37</v>
      </c>
      <c r="C26" s="135" t="str">
        <f t="shared" si="26"/>
        <v>Ritter, Sigrun</v>
      </c>
      <c r="D26" s="102" t="str">
        <f t="shared" si="1"/>
        <v>RS</v>
      </c>
      <c r="E26" s="103" t="s">
        <v>21</v>
      </c>
      <c r="F26" s="104">
        <v>5</v>
      </c>
      <c r="G26" s="102" t="str">
        <f t="shared" si="18"/>
        <v>SEN5</v>
      </c>
      <c r="H26" s="102" t="str">
        <f t="shared" si="19"/>
        <v>SEN5RS</v>
      </c>
      <c r="I26" s="105">
        <f t="shared" si="2"/>
        <v>3.415</v>
      </c>
      <c r="J26" s="102">
        <f t="shared" si="27"/>
        <v>4</v>
      </c>
      <c r="K26" s="106">
        <f t="shared" si="3"/>
        <v>1.0916319531250001</v>
      </c>
      <c r="L26" s="106">
        <f t="shared" si="4"/>
        <v>1.1000000000000001</v>
      </c>
      <c r="M26" s="106">
        <f>VLOOKUP(O26-Parameters!$C$33,Zeit,2)</f>
        <v>1.1200000000000001</v>
      </c>
      <c r="N26" s="84">
        <f t="shared" si="5"/>
        <v>1.3448905662500004</v>
      </c>
      <c r="O26" s="107">
        <f t="shared" si="20"/>
        <v>2.1376223172234492</v>
      </c>
      <c r="P26" s="108">
        <f>VLOOKUP(H26,TimeBasis!A:B,2,FALSE)*N26</f>
        <v>2.4399256819888679E-2</v>
      </c>
      <c r="Q26" s="137" t="str">
        <f t="shared" si="6"/>
        <v/>
      </c>
      <c r="R26" s="109">
        <f t="shared" si="7"/>
        <v>7.9385901480034746E-3</v>
      </c>
      <c r="S26" s="109" t="str">
        <f t="shared" si="24"/>
        <v/>
      </c>
      <c r="T26" s="110">
        <f t="shared" si="21"/>
        <v>2.1543518518518519</v>
      </c>
      <c r="U26" s="111">
        <v>2.4143518518518519E-2</v>
      </c>
      <c r="V26" s="111" t="s">
        <v>155</v>
      </c>
      <c r="W26" s="140">
        <f t="shared" si="22"/>
        <v>24</v>
      </c>
      <c r="X26" s="108" t="str">
        <f t="shared" si="8"/>
        <v>-0:22</v>
      </c>
      <c r="Y26" s="108" t="str">
        <f t="shared" si="23"/>
        <v>+23:43</v>
      </c>
      <c r="Z26" s="112">
        <f t="shared" si="9"/>
        <v>3.1</v>
      </c>
      <c r="AA26" s="113">
        <f t="shared" si="10"/>
        <v>45</v>
      </c>
      <c r="AB26" s="112">
        <f>IF(U26&gt;0,Z26+AA26*Climbfaktor/1000,VLOOKUP($E26,CoursesBasis!B$3:K$39,9,FALSE))</f>
        <v>3.415</v>
      </c>
      <c r="AC26" s="114">
        <f t="shared" si="25"/>
        <v>7.0698443685266524E-3</v>
      </c>
      <c r="AD26" s="114">
        <f t="shared" si="11"/>
        <v>5.2568175775369709E-3</v>
      </c>
      <c r="AE26" s="114" t="str">
        <f t="shared" si="12"/>
        <v>3:52 -</v>
      </c>
      <c r="AF26" s="101"/>
    </row>
    <row r="27" spans="1:47" s="95" customFormat="1" ht="11.25" customHeight="1">
      <c r="A27" s="102">
        <f t="shared" si="17"/>
        <v>25</v>
      </c>
      <c r="B27" s="103" t="s">
        <v>28</v>
      </c>
      <c r="C27" s="135" t="str">
        <f t="shared" si="26"/>
        <v>Ehrl, Lionel</v>
      </c>
      <c r="D27" s="102" t="str">
        <f t="shared" si="1"/>
        <v>EL</v>
      </c>
      <c r="E27" s="103" t="s">
        <v>22</v>
      </c>
      <c r="F27" s="104">
        <v>1</v>
      </c>
      <c r="G27" s="102" t="str">
        <f t="shared" si="18"/>
        <v>SDN1</v>
      </c>
      <c r="H27" s="102" t="str">
        <f t="shared" si="19"/>
        <v>SDN1EL</v>
      </c>
      <c r="I27" s="105">
        <f t="shared" si="2"/>
        <v>4.5449999999999999</v>
      </c>
      <c r="J27" s="102">
        <f t="shared" si="27"/>
        <v>5</v>
      </c>
      <c r="K27" s="106">
        <f t="shared" si="3"/>
        <v>1.0832042860133333</v>
      </c>
      <c r="L27" s="106">
        <f t="shared" si="4"/>
        <v>1</v>
      </c>
      <c r="M27" s="106">
        <f>VLOOKUP(O27-Parameters!$C$33,Zeit,2)</f>
        <v>1.1200000000000001</v>
      </c>
      <c r="N27" s="84">
        <f t="shared" si="5"/>
        <v>1.2131888003349334</v>
      </c>
      <c r="O27" s="107">
        <f t="shared" si="20"/>
        <v>2.1620215740433379</v>
      </c>
      <c r="P27" s="108">
        <f>VLOOKUP(H27,TimeBasis!A:B,2,FALSE)*N27</f>
        <v>2.6803890057399932E-2</v>
      </c>
      <c r="Q27" s="137" t="str">
        <f t="shared" si="6"/>
        <v/>
      </c>
      <c r="R27" s="109">
        <f t="shared" si="7"/>
        <v>5.897445557183704E-3</v>
      </c>
      <c r="S27" s="109" t="str">
        <f t="shared" si="24"/>
        <v/>
      </c>
      <c r="T27" s="110">
        <f t="shared" si="21"/>
        <v>2.1784953703703702</v>
      </c>
      <c r="U27" s="111">
        <v>3.5486111111111114E-2</v>
      </c>
      <c r="V27" s="111" t="s">
        <v>155</v>
      </c>
      <c r="W27" s="140">
        <f t="shared" si="22"/>
        <v>25</v>
      </c>
      <c r="X27" s="108" t="str">
        <f t="shared" si="8"/>
        <v>+12:30</v>
      </c>
      <c r="Y27" s="108" t="str">
        <f t="shared" si="23"/>
        <v>+36:13</v>
      </c>
      <c r="Z27" s="112">
        <f t="shared" si="9"/>
        <v>4.3</v>
      </c>
      <c r="AA27" s="113">
        <f t="shared" si="10"/>
        <v>35</v>
      </c>
      <c r="AB27" s="112">
        <f>IF(U27&gt;0,Z27+AA27*Climbfaktor/1000,VLOOKUP($E27,CoursesBasis!B$3:K$39,9,FALSE))</f>
        <v>4.5449999999999999</v>
      </c>
      <c r="AC27" s="114">
        <f t="shared" si="25"/>
        <v>7.8077252169661418E-3</v>
      </c>
      <c r="AD27" s="114">
        <f t="shared" si="11"/>
        <v>6.4357049906911519E-3</v>
      </c>
      <c r="AE27" s="114" t="str">
        <f t="shared" si="12"/>
        <v>0:47 +</v>
      </c>
      <c r="AF27" s="101"/>
    </row>
    <row r="28" spans="1:47" s="95" customFormat="1" ht="11.25" customHeight="1">
      <c r="A28" s="102">
        <f t="shared" si="17"/>
        <v>26</v>
      </c>
      <c r="B28" s="103" t="s">
        <v>30</v>
      </c>
      <c r="C28" s="135" t="str">
        <f t="shared" si="26"/>
        <v>Baath, Veikko</v>
      </c>
      <c r="D28" s="102" t="str">
        <f t="shared" si="1"/>
        <v>BV</v>
      </c>
      <c r="E28" s="103" t="s">
        <v>22</v>
      </c>
      <c r="F28" s="104">
        <v>2</v>
      </c>
      <c r="G28" s="102" t="str">
        <f t="shared" si="18"/>
        <v>SDN2</v>
      </c>
      <c r="H28" s="102" t="str">
        <f t="shared" si="19"/>
        <v>SDN2BV</v>
      </c>
      <c r="I28" s="105">
        <f t="shared" si="2"/>
        <v>5.4950000000000001</v>
      </c>
      <c r="J28" s="102">
        <f t="shared" si="27"/>
        <v>5</v>
      </c>
      <c r="K28" s="106">
        <f t="shared" si="3"/>
        <v>1.0962368910865001</v>
      </c>
      <c r="L28" s="106">
        <f t="shared" si="4"/>
        <v>1</v>
      </c>
      <c r="M28" s="106">
        <f>VLOOKUP(O28-Parameters!$C$33,Zeit,2)</f>
        <v>1.06</v>
      </c>
      <c r="N28" s="84">
        <f t="shared" si="5"/>
        <v>1.1620111045516901</v>
      </c>
      <c r="O28" s="107">
        <f t="shared" si="20"/>
        <v>2.1888254641007379</v>
      </c>
      <c r="P28" s="108">
        <f>VLOOKUP(H28,TimeBasis!A:B,2,FALSE)*N28</f>
        <v>3.3626032568029506E-2</v>
      </c>
      <c r="Q28" s="137" t="str">
        <f t="shared" si="6"/>
        <v/>
      </c>
      <c r="R28" s="109">
        <f t="shared" si="7"/>
        <v>6.1193871825349416E-3</v>
      </c>
      <c r="S28" s="109" t="str">
        <f t="shared" si="24"/>
        <v/>
      </c>
      <c r="T28" s="110">
        <f t="shared" si="21"/>
        <v>2.2139814814814813</v>
      </c>
      <c r="U28" s="111">
        <v>3.2569444444444443E-2</v>
      </c>
      <c r="V28" s="111" t="s">
        <v>155</v>
      </c>
      <c r="W28" s="140">
        <f t="shared" si="22"/>
        <v>26</v>
      </c>
      <c r="X28" s="108" t="str">
        <f t="shared" si="8"/>
        <v>-1:31</v>
      </c>
      <c r="Y28" s="108" t="str">
        <f t="shared" si="23"/>
        <v>+34:42</v>
      </c>
      <c r="Z28" s="112">
        <f t="shared" si="9"/>
        <v>4.9000000000000004</v>
      </c>
      <c r="AA28" s="113">
        <f t="shared" si="10"/>
        <v>85</v>
      </c>
      <c r="AB28" s="112">
        <f>IF(U28&gt;0,Z28+AA28*Climbfaktor/1000,VLOOKUP($E28,CoursesBasis!B$3:K$39,9,FALSE))</f>
        <v>5.4950000000000001</v>
      </c>
      <c r="AC28" s="114">
        <f t="shared" si="25"/>
        <v>5.9271054493984423E-3</v>
      </c>
      <c r="AD28" s="114">
        <f t="shared" si="11"/>
        <v>5.1007304716637371E-3</v>
      </c>
      <c r="AE28" s="114" t="str">
        <f t="shared" si="12"/>
        <v>1:28 -</v>
      </c>
      <c r="AF28" s="101"/>
    </row>
    <row r="29" spans="1:47" s="95" customFormat="1" ht="11.25" customHeight="1">
      <c r="A29" s="102">
        <f t="shared" si="17"/>
        <v>26</v>
      </c>
      <c r="B29" s="103" t="s">
        <v>32</v>
      </c>
      <c r="C29" s="135" t="str">
        <f t="shared" si="26"/>
        <v>Lexen, Gert</v>
      </c>
      <c r="D29" s="102" t="str">
        <f t="shared" si="1"/>
        <v>LG</v>
      </c>
      <c r="E29" s="103" t="s">
        <v>24</v>
      </c>
      <c r="F29" s="104">
        <v>2</v>
      </c>
      <c r="G29" s="102" t="str">
        <f t="shared" si="18"/>
        <v>LDN2</v>
      </c>
      <c r="H29" s="102" t="str">
        <f t="shared" si="19"/>
        <v>LDN2LG</v>
      </c>
      <c r="I29" s="105">
        <f t="shared" si="2"/>
        <v>9.61</v>
      </c>
      <c r="J29" s="102">
        <f t="shared" si="27"/>
        <v>5</v>
      </c>
      <c r="K29" s="106">
        <f t="shared" si="3"/>
        <v>1.092271413248</v>
      </c>
      <c r="L29" s="106">
        <f t="shared" si="4"/>
        <v>1.08</v>
      </c>
      <c r="M29" s="106">
        <f>VLOOKUP(O29-Parameters!$C$33,Zeit,2)</f>
        <v>1.06</v>
      </c>
      <c r="N29" s="84">
        <f t="shared" si="5"/>
        <v>1.2504323138863105</v>
      </c>
      <c r="O29" s="107">
        <f t="shared" si="20"/>
        <v>2.2224514966687674</v>
      </c>
      <c r="P29" s="108">
        <f>VLOOKUP(H29,TimeBasis!A:B,2,FALSE)*N29</f>
        <v>7.1140263835565612E-2</v>
      </c>
      <c r="Q29" s="137" t="str">
        <f t="shared" si="6"/>
        <v/>
      </c>
      <c r="R29" s="109">
        <f t="shared" si="7"/>
        <v>6.7297572448742418E-3</v>
      </c>
      <c r="S29" s="109" t="str">
        <f t="shared" si="24"/>
        <v/>
      </c>
      <c r="T29" s="110">
        <f t="shared" si="21"/>
        <v>2.2465509259259258</v>
      </c>
      <c r="U29" s="111">
        <v>6.21875E-2</v>
      </c>
      <c r="V29" s="111" t="s">
        <v>156</v>
      </c>
      <c r="W29" s="140">
        <f t="shared" si="22"/>
        <v>26</v>
      </c>
      <c r="X29" s="108" t="str">
        <f t="shared" si="8"/>
        <v>-12:54</v>
      </c>
      <c r="Y29" s="108" t="str">
        <f t="shared" si="23"/>
        <v>+21:49</v>
      </c>
      <c r="Z29" s="112">
        <f t="shared" si="9"/>
        <v>8.6999999999999993</v>
      </c>
      <c r="AA29" s="113">
        <f t="shared" si="10"/>
        <v>130</v>
      </c>
      <c r="AB29" s="112">
        <f>IF(U29&gt;0,Z29+AA29*Climbfaktor/1000,VLOOKUP($E29,CoursesBasis!B$3:K$39,9,FALSE))</f>
        <v>9.61</v>
      </c>
      <c r="AC29" s="114">
        <f t="shared" si="25"/>
        <v>6.471123829344433E-3</v>
      </c>
      <c r="AD29" s="114">
        <f t="shared" si="11"/>
        <v>5.1751092462033006E-3</v>
      </c>
      <c r="AE29" s="114" t="str">
        <f t="shared" si="12"/>
        <v>2:14 -</v>
      </c>
      <c r="AF29" s="101"/>
      <c r="AG29" s="155" t="s">
        <v>43</v>
      </c>
      <c r="AH29" s="156"/>
      <c r="AI29" s="157"/>
      <c r="AJ29" s="92" t="s">
        <v>94</v>
      </c>
      <c r="AK29" s="92" t="s">
        <v>95</v>
      </c>
      <c r="AL29" s="118" t="s">
        <v>54</v>
      </c>
      <c r="AM29" s="92" t="s">
        <v>55</v>
      </c>
      <c r="AN29" s="118" t="s">
        <v>58</v>
      </c>
      <c r="AO29" s="92" t="s">
        <v>86</v>
      </c>
      <c r="AP29" s="99" t="s">
        <v>87</v>
      </c>
      <c r="AQ29" s="99" t="s">
        <v>65</v>
      </c>
    </row>
    <row r="30" spans="1:47" s="95" customFormat="1" ht="11.25" customHeight="1">
      <c r="A30" s="102">
        <f t="shared" si="17"/>
        <v>27</v>
      </c>
      <c r="B30" s="103" t="s">
        <v>34</v>
      </c>
      <c r="C30" s="135" t="str">
        <f t="shared" si="26"/>
        <v>Lorenz-Baath, Katrin</v>
      </c>
      <c r="D30" s="102" t="str">
        <f t="shared" si="1"/>
        <v>LK</v>
      </c>
      <c r="E30" s="103" t="s">
        <v>22</v>
      </c>
      <c r="F30" s="104">
        <v>3</v>
      </c>
      <c r="G30" s="102" t="str">
        <f t="shared" si="18"/>
        <v>SDN3</v>
      </c>
      <c r="H30" s="102" t="str">
        <f t="shared" si="19"/>
        <v>SDN3LK</v>
      </c>
      <c r="I30" s="105">
        <f t="shared" si="2"/>
        <v>5.7249999999999996</v>
      </c>
      <c r="J30" s="102">
        <f t="shared" si="27"/>
        <v>5</v>
      </c>
      <c r="K30" s="106">
        <f t="shared" si="3"/>
        <v>1.0985558523175001</v>
      </c>
      <c r="L30" s="106">
        <f t="shared" si="4"/>
        <v>1</v>
      </c>
      <c r="M30" s="106">
        <f>VLOOKUP(O30-Parameters!$C$33,Zeit,2)</f>
        <v>1</v>
      </c>
      <c r="N30" s="84">
        <f t="shared" si="5"/>
        <v>1.0985558523175001</v>
      </c>
      <c r="O30" s="107">
        <f t="shared" si="20"/>
        <v>2.293591760504333</v>
      </c>
      <c r="P30" s="108">
        <f>VLOOKUP(H30,TimeBasis!A:B,2,FALSE)*N30</f>
        <v>3.4940179191764932E-2</v>
      </c>
      <c r="Q30" s="137" t="str">
        <f t="shared" si="6"/>
        <v/>
      </c>
      <c r="R30" s="109">
        <f t="shared" si="7"/>
        <v>6.1030880684305559E-3</v>
      </c>
      <c r="S30" s="109" t="str">
        <f t="shared" si="24"/>
        <v/>
      </c>
      <c r="T30" s="110">
        <f t="shared" si="21"/>
        <v>2.3087384259259256</v>
      </c>
      <c r="U30" s="111">
        <v>3.0451388888888889E-2</v>
      </c>
      <c r="V30" s="111" t="s">
        <v>155</v>
      </c>
      <c r="W30" s="140">
        <f t="shared" si="22"/>
        <v>27</v>
      </c>
      <c r="X30" s="108" t="str">
        <f t="shared" si="8"/>
        <v>-6:28</v>
      </c>
      <c r="Y30" s="108" t="str">
        <f t="shared" si="23"/>
        <v>+15:21</v>
      </c>
      <c r="Z30" s="112">
        <f t="shared" si="9"/>
        <v>4.5</v>
      </c>
      <c r="AA30" s="113">
        <f t="shared" si="10"/>
        <v>175</v>
      </c>
      <c r="AB30" s="112">
        <f>IF(U30&gt;0,Z30+AA30*Climbfaktor/1000,VLOOKUP($E30,CoursesBasis!B$3:K$39,9,FALSE))</f>
        <v>5.7249999999999996</v>
      </c>
      <c r="AC30" s="114">
        <f t="shared" si="25"/>
        <v>5.3190198932557015E-3</v>
      </c>
      <c r="AD30" s="114">
        <f t="shared" si="11"/>
        <v>4.8418292816289326E-3</v>
      </c>
      <c r="AE30" s="114" t="str">
        <f t="shared" si="12"/>
        <v>1:49 -</v>
      </c>
      <c r="AF30" s="101"/>
      <c r="AG30" s="158" t="str">
        <f t="shared" ref="AG30:AG35" si="31">C3</f>
        <v>Ehrl, Lionel</v>
      </c>
      <c r="AH30" s="159"/>
      <c r="AI30" s="160"/>
      <c r="AJ30" s="115">
        <f t="shared" ref="AJ30:AJ35" ca="1" si="32">SUMIF(C:P,AG30,P:P)</f>
        <v>0.17499887925219426</v>
      </c>
      <c r="AK30" s="115">
        <f t="shared" ref="AK30:AK35" ca="1" si="33">SUMIF(C:P,AG30,U:U)</f>
        <v>0.1738425925925926</v>
      </c>
      <c r="AL30" s="120">
        <f t="shared" ref="AL30:AN35" si="34">SUMIF($C:$C,$AG30,Z:Z)</f>
        <v>30</v>
      </c>
      <c r="AM30" s="116">
        <f t="shared" si="34"/>
        <v>470</v>
      </c>
      <c r="AN30" s="120">
        <f t="shared" si="34"/>
        <v>33.29</v>
      </c>
      <c r="AO30" s="117">
        <f ca="1">IF(AN30&gt;0,AJ30/AN30,"")</f>
        <v>5.2568002178490321E-3</v>
      </c>
      <c r="AP30" s="117">
        <f>SUMIF($C$3:$C$40,AG30,$AD$3:$AD$40)/AQ30</f>
        <v>4.9127602796864393E-3</v>
      </c>
      <c r="AQ30" s="97">
        <f t="shared" ref="AQ30:AQ35" si="35">COUNTIF(C:C,AG30)</f>
        <v>5</v>
      </c>
    </row>
    <row r="31" spans="1:47" s="95" customFormat="1" ht="11.25" customHeight="1">
      <c r="A31" s="102">
        <f t="shared" si="17"/>
        <v>27</v>
      </c>
      <c r="B31" s="103" t="s">
        <v>35</v>
      </c>
      <c r="C31" s="135" t="str">
        <f t="shared" si="26"/>
        <v>Lexen, Dieter - too late</v>
      </c>
      <c r="D31" s="102" t="str">
        <f t="shared" si="1"/>
        <v>LD</v>
      </c>
      <c r="E31" s="103" t="s">
        <v>24</v>
      </c>
      <c r="F31" s="104">
        <v>3</v>
      </c>
      <c r="G31" s="102" t="str">
        <f t="shared" si="18"/>
        <v>LDN3</v>
      </c>
      <c r="H31" s="102" t="str">
        <f t="shared" si="19"/>
        <v>LDN3LD</v>
      </c>
      <c r="I31" s="105">
        <f t="shared" si="2"/>
        <v>9.7899999999999991</v>
      </c>
      <c r="J31" s="102">
        <f t="shared" si="27"/>
        <v>5</v>
      </c>
      <c r="K31" s="106">
        <f t="shared" si="3"/>
        <v>1.102034294164</v>
      </c>
      <c r="L31" s="106">
        <f t="shared" si="4"/>
        <v>1.08</v>
      </c>
      <c r="M31" s="106">
        <f>VLOOKUP(O31-Parameters!$C$33,Zeit,2)</f>
        <v>1</v>
      </c>
      <c r="N31" s="84">
        <f t="shared" si="5"/>
        <v>1.19019703769712</v>
      </c>
      <c r="O31" s="107">
        <f t="shared" si="20"/>
        <v>2.3285319396960977</v>
      </c>
      <c r="P31" s="108">
        <f>VLOOKUP(H31,TimeBasis!A:B,2,FALSE)*N31</f>
        <v>6.8981630011765438E-2</v>
      </c>
      <c r="Q31" s="137" t="str">
        <f t="shared" si="6"/>
        <v>x</v>
      </c>
      <c r="R31" s="109">
        <f t="shared" si="7"/>
        <v>6.4055743348282509E-3</v>
      </c>
      <c r="S31" s="109" t="str">
        <f t="shared" si="24"/>
        <v/>
      </c>
      <c r="T31" s="110">
        <f t="shared" si="21"/>
        <v>2.3391898148148145</v>
      </c>
      <c r="U31" s="111"/>
      <c r="V31" s="111"/>
      <c r="W31" s="140">
        <f t="shared" si="22"/>
        <v>27</v>
      </c>
      <c r="X31" s="108" t="str">
        <f t="shared" si="8"/>
        <v/>
      </c>
      <c r="Y31" s="108" t="str">
        <f t="shared" si="23"/>
        <v/>
      </c>
      <c r="Z31" s="112" t="str">
        <f t="shared" si="9"/>
        <v/>
      </c>
      <c r="AA31" s="113" t="str">
        <f t="shared" si="10"/>
        <v/>
      </c>
      <c r="AB31" s="112">
        <f>IF(U31&gt;0,Z31+AA31*Climbfaktor/1000,VLOOKUP($E31,CoursesBasis!B$3:K$39,9,FALSE))</f>
        <v>0</v>
      </c>
      <c r="AC31" s="114" t="str">
        <f t="shared" si="25"/>
        <v/>
      </c>
      <c r="AD31" s="114" t="str">
        <f t="shared" si="11"/>
        <v/>
      </c>
      <c r="AE31" s="114" t="str">
        <f t="shared" si="12"/>
        <v/>
      </c>
      <c r="AF31" s="101"/>
      <c r="AG31" s="158" t="str">
        <f t="shared" si="31"/>
        <v>Baath, Veikko</v>
      </c>
      <c r="AH31" s="159"/>
      <c r="AI31" s="160"/>
      <c r="AJ31" s="115">
        <f t="shared" ca="1" si="32"/>
        <v>0.20011716805580432</v>
      </c>
      <c r="AK31" s="115">
        <f t="shared" ca="1" si="33"/>
        <v>0.20159722222222221</v>
      </c>
      <c r="AL31" s="120">
        <f t="shared" si="34"/>
        <v>32.1</v>
      </c>
      <c r="AM31" s="116">
        <f t="shared" si="34"/>
        <v>525</v>
      </c>
      <c r="AN31" s="120">
        <f t="shared" si="34"/>
        <v>35.774999999999999</v>
      </c>
      <c r="AO31" s="117">
        <f t="shared" ref="AO31:AO35" ca="1" si="36">IF(AN31&gt;0,AJ31/AN31,"")</f>
        <v>5.5937712943621059E-3</v>
      </c>
      <c r="AP31" s="117">
        <f t="shared" ref="AP31:AP35" si="37">SUMIF($C$3:$C$40,AG31,$AD$3:$AD$40)/AQ31</f>
        <v>5.3090761826026086E-3</v>
      </c>
      <c r="AQ31" s="97">
        <f t="shared" si="35"/>
        <v>5</v>
      </c>
    </row>
    <row r="32" spans="1:47" s="95" customFormat="1" ht="11.25" customHeight="1">
      <c r="A32" s="102">
        <f t="shared" si="17"/>
        <v>27</v>
      </c>
      <c r="B32" s="103" t="s">
        <v>37</v>
      </c>
      <c r="C32" s="135" t="str">
        <f t="shared" si="26"/>
        <v>Ritter, Sigrun - too late</v>
      </c>
      <c r="D32" s="102" t="str">
        <f t="shared" si="1"/>
        <v>RS</v>
      </c>
      <c r="E32" s="103" t="s">
        <v>24</v>
      </c>
      <c r="F32" s="104">
        <v>1</v>
      </c>
      <c r="G32" s="102" t="str">
        <f t="shared" si="18"/>
        <v>LDN1</v>
      </c>
      <c r="H32" s="102" t="str">
        <f t="shared" si="19"/>
        <v>LDN1RS</v>
      </c>
      <c r="I32" s="105">
        <f t="shared" si="2"/>
        <v>10.16</v>
      </c>
      <c r="J32" s="102">
        <f t="shared" ref="J32:J37" si="38">J26+1</f>
        <v>5</v>
      </c>
      <c r="K32" s="106">
        <f t="shared" si="3"/>
        <v>1.116067140625</v>
      </c>
      <c r="L32" s="106">
        <f t="shared" si="4"/>
        <v>1.35</v>
      </c>
      <c r="M32" s="106">
        <f>VLOOKUP(O32-Parameters!$C$33,Zeit,2)</f>
        <v>1</v>
      </c>
      <c r="N32" s="84">
        <f t="shared" si="5"/>
        <v>1.5066906398437501</v>
      </c>
      <c r="O32" s="107">
        <f t="shared" si="20"/>
        <v>2.3975135697078631</v>
      </c>
      <c r="P32" s="108">
        <f>VLOOKUP(H32,TimeBasis!A:B,2,FALSE)*N32</f>
        <v>9.9395544460136723E-2</v>
      </c>
      <c r="Q32" s="137" t="str">
        <f t="shared" si="6"/>
        <v>x</v>
      </c>
      <c r="R32" s="109">
        <f t="shared" si="7"/>
        <v>8.8936600268554687E-3</v>
      </c>
      <c r="S32" s="109" t="str">
        <f t="shared" si="24"/>
        <v/>
      </c>
      <c r="T32" s="110">
        <f t="shared" si="21"/>
        <v>2.3391898148148145</v>
      </c>
      <c r="U32" s="111"/>
      <c r="V32" s="111"/>
      <c r="W32" s="140">
        <f t="shared" si="22"/>
        <v>27</v>
      </c>
      <c r="X32" s="108" t="str">
        <f t="shared" si="8"/>
        <v/>
      </c>
      <c r="Y32" s="108" t="str">
        <f t="shared" si="23"/>
        <v/>
      </c>
      <c r="Z32" s="112" t="str">
        <f t="shared" si="9"/>
        <v/>
      </c>
      <c r="AA32" s="113" t="str">
        <f t="shared" si="10"/>
        <v/>
      </c>
      <c r="AB32" s="112">
        <f>IF(U32&gt;0,Z32+AA32*Climbfaktor/1000,VLOOKUP($E32,CoursesBasis!B$3:K$39,9,FALSE))</f>
        <v>0</v>
      </c>
      <c r="AC32" s="114" t="str">
        <f t="shared" si="25"/>
        <v/>
      </c>
      <c r="AD32" s="114" t="str">
        <f t="shared" si="11"/>
        <v/>
      </c>
      <c r="AE32" s="114" t="str">
        <f t="shared" si="12"/>
        <v/>
      </c>
      <c r="AF32" s="101"/>
      <c r="AG32" s="158" t="str">
        <f t="shared" si="31"/>
        <v>Lexen, Gert</v>
      </c>
      <c r="AH32" s="159"/>
      <c r="AI32" s="160"/>
      <c r="AJ32" s="115">
        <f t="shared" ca="1" si="32"/>
        <v>0.20916617424831019</v>
      </c>
      <c r="AK32" s="115">
        <f t="shared" ca="1" si="33"/>
        <v>0.19923611111111111</v>
      </c>
      <c r="AL32" s="120">
        <f t="shared" si="34"/>
        <v>31.5</v>
      </c>
      <c r="AM32" s="116">
        <f t="shared" si="34"/>
        <v>605</v>
      </c>
      <c r="AN32" s="120">
        <f t="shared" si="34"/>
        <v>35.734999999999999</v>
      </c>
      <c r="AO32" s="117">
        <f t="shared" ca="1" si="36"/>
        <v>5.85325798931888E-3</v>
      </c>
      <c r="AP32" s="117">
        <f t="shared" si="37"/>
        <v>5.2953965068208786E-3</v>
      </c>
      <c r="AQ32" s="97">
        <f t="shared" si="35"/>
        <v>5</v>
      </c>
    </row>
    <row r="33" spans="1:43" s="95" customFormat="1" ht="11.25" customHeight="1">
      <c r="A33" s="102">
        <f t="shared" si="17"/>
        <v>27</v>
      </c>
      <c r="B33" s="103" t="s">
        <v>28</v>
      </c>
      <c r="C33" s="135" t="str">
        <f t="shared" si="26"/>
        <v>Ehrl, Lionel - too late</v>
      </c>
      <c r="D33" s="102" t="str">
        <f t="shared" si="1"/>
        <v>EL</v>
      </c>
      <c r="E33" s="103" t="s">
        <v>18</v>
      </c>
      <c r="F33" s="104">
        <v>1</v>
      </c>
      <c r="G33" s="102" t="str">
        <f t="shared" si="18"/>
        <v>LD1</v>
      </c>
      <c r="H33" s="102" t="str">
        <f t="shared" si="19"/>
        <v>LD1EL</v>
      </c>
      <c r="I33" s="105">
        <f t="shared" si="2"/>
        <v>11.45</v>
      </c>
      <c r="J33" s="102">
        <f t="shared" si="38"/>
        <v>6</v>
      </c>
      <c r="K33" s="106">
        <f t="shared" si="3"/>
        <v>1.0946448753401667</v>
      </c>
      <c r="L33" s="106">
        <f t="shared" si="4"/>
        <v>1.05</v>
      </c>
      <c r="M33" s="106">
        <f>VLOOKUP(O33-Parameters!$C$33,Zeit,2)</f>
        <v>1</v>
      </c>
      <c r="N33" s="84">
        <f t="shared" si="5"/>
        <v>1.1493771191071751</v>
      </c>
      <c r="O33" s="107">
        <f t="shared" si="20"/>
        <v>2.496909114168</v>
      </c>
      <c r="P33" s="108">
        <f>VLOOKUP(H33,TimeBasis!A:B,2,FALSE)*N33</f>
        <v>6.717271173698755E-2</v>
      </c>
      <c r="Q33" s="137" t="str">
        <f t="shared" si="6"/>
        <v>x</v>
      </c>
      <c r="R33" s="109">
        <f t="shared" si="7"/>
        <v>5.5872498845487683E-3</v>
      </c>
      <c r="S33" s="109" t="str">
        <f t="shared" si="24"/>
        <v/>
      </c>
      <c r="T33" s="110">
        <f t="shared" si="21"/>
        <v>2.3391898148148145</v>
      </c>
      <c r="U33" s="111"/>
      <c r="V33" s="111"/>
      <c r="W33" s="140">
        <f t="shared" si="22"/>
        <v>27</v>
      </c>
      <c r="X33" s="108" t="str">
        <f t="shared" si="8"/>
        <v/>
      </c>
      <c r="Y33" s="108" t="str">
        <f t="shared" si="23"/>
        <v/>
      </c>
      <c r="Z33" s="112" t="str">
        <f t="shared" si="9"/>
        <v/>
      </c>
      <c r="AA33" s="113" t="str">
        <f t="shared" si="10"/>
        <v/>
      </c>
      <c r="AB33" s="112">
        <f>IF(U33&gt;0,Z33+AA33*Climbfaktor/1000,VLOOKUP($E33,CoursesBasis!B$3:K$39,9,FALSE))</f>
        <v>0</v>
      </c>
      <c r="AC33" s="114" t="str">
        <f t="shared" si="25"/>
        <v/>
      </c>
      <c r="AD33" s="114" t="str">
        <f t="shared" si="11"/>
        <v/>
      </c>
      <c r="AE33" s="114" t="str">
        <f t="shared" si="12"/>
        <v/>
      </c>
      <c r="AF33" s="101"/>
      <c r="AG33" s="158" t="str">
        <f t="shared" si="31"/>
        <v>Lorenz-Baath, Katrin</v>
      </c>
      <c r="AH33" s="159"/>
      <c r="AI33" s="160"/>
      <c r="AJ33" s="115">
        <f t="shared" ca="1" si="32"/>
        <v>0.13007059607966381</v>
      </c>
      <c r="AK33" s="115">
        <f t="shared" ca="1" si="33"/>
        <v>0.13171296296296298</v>
      </c>
      <c r="AL33" s="120">
        <f t="shared" si="34"/>
        <v>21.7</v>
      </c>
      <c r="AM33" s="116">
        <f t="shared" si="34"/>
        <v>400</v>
      </c>
      <c r="AN33" s="120">
        <f t="shared" si="34"/>
        <v>24.5</v>
      </c>
      <c r="AO33" s="117">
        <f t="shared" ca="1" si="36"/>
        <v>5.309003921618931E-3</v>
      </c>
      <c r="AP33" s="117">
        <f t="shared" si="37"/>
        <v>5.3584986129579949E-3</v>
      </c>
      <c r="AQ33" s="97">
        <f t="shared" si="35"/>
        <v>5</v>
      </c>
    </row>
    <row r="34" spans="1:43" s="95" customFormat="1" ht="11.25" customHeight="1">
      <c r="A34" s="102">
        <f t="shared" si="17"/>
        <v>27</v>
      </c>
      <c r="B34" s="103" t="s">
        <v>30</v>
      </c>
      <c r="C34" s="135" t="str">
        <f t="shared" si="26"/>
        <v>Baath, Veikko - too late</v>
      </c>
      <c r="D34" s="102" t="str">
        <f t="shared" si="1"/>
        <v>BV</v>
      </c>
      <c r="E34" s="103" t="s">
        <v>18</v>
      </c>
      <c r="F34" s="104">
        <v>3</v>
      </c>
      <c r="G34" s="102" t="str">
        <f t="shared" si="18"/>
        <v>LD3</v>
      </c>
      <c r="H34" s="102" t="str">
        <f t="shared" si="19"/>
        <v>LD3BV</v>
      </c>
      <c r="I34" s="105">
        <f t="shared" si="2"/>
        <v>11.095000000000001</v>
      </c>
      <c r="J34" s="102">
        <f t="shared" si="38"/>
        <v>6</v>
      </c>
      <c r="K34" s="106">
        <f t="shared" si="3"/>
        <v>1.1118753858880563</v>
      </c>
      <c r="L34" s="106">
        <f t="shared" si="4"/>
        <v>1.1000000000000001</v>
      </c>
      <c r="M34" s="106">
        <f>VLOOKUP(O34-Parameters!$C$33,Zeit,2)</f>
        <v>1</v>
      </c>
      <c r="N34" s="84">
        <f t="shared" si="5"/>
        <v>1.223062924476862</v>
      </c>
      <c r="O34" s="107">
        <f t="shared" si="20"/>
        <v>2.5640818259049873</v>
      </c>
      <c r="P34" s="108">
        <f>VLOOKUP(H34,TimeBasis!A:B,2,FALSE)*N34</f>
        <v>7.5034857332327162E-2</v>
      </c>
      <c r="Q34" s="137" t="str">
        <f t="shared" si="6"/>
        <v>x</v>
      </c>
      <c r="R34" s="109">
        <f t="shared" si="7"/>
        <v>6.4408985027427342E-3</v>
      </c>
      <c r="S34" s="109" t="str">
        <f t="shared" si="24"/>
        <v/>
      </c>
      <c r="T34" s="110">
        <f t="shared" si="21"/>
        <v>2.3391898148148145</v>
      </c>
      <c r="U34" s="111"/>
      <c r="V34" s="111"/>
      <c r="W34" s="140">
        <f t="shared" si="22"/>
        <v>27</v>
      </c>
      <c r="X34" s="108" t="str">
        <f t="shared" si="8"/>
        <v/>
      </c>
      <c r="Y34" s="108" t="str">
        <f t="shared" si="23"/>
        <v/>
      </c>
      <c r="Z34" s="112" t="str">
        <f t="shared" si="9"/>
        <v/>
      </c>
      <c r="AA34" s="113" t="str">
        <f t="shared" si="10"/>
        <v/>
      </c>
      <c r="AB34" s="112">
        <f>IF(U34&gt;0,Z34+AA34*Climbfaktor/1000,VLOOKUP($E34,CoursesBasis!B$3:K$39,9,FALSE))</f>
        <v>0</v>
      </c>
      <c r="AC34" s="114" t="str">
        <f t="shared" si="25"/>
        <v/>
      </c>
      <c r="AD34" s="114" t="str">
        <f t="shared" si="11"/>
        <v/>
      </c>
      <c r="AE34" s="114" t="str">
        <f t="shared" si="12"/>
        <v/>
      </c>
      <c r="AF34" s="101"/>
      <c r="AG34" s="158" t="str">
        <f t="shared" si="31"/>
        <v>Lexen, Dieter</v>
      </c>
      <c r="AH34" s="159"/>
      <c r="AI34" s="160"/>
      <c r="AJ34" s="115">
        <f t="shared" ca="1" si="32"/>
        <v>0.15360001436207282</v>
      </c>
      <c r="AK34" s="115">
        <f t="shared" ca="1" si="33"/>
        <v>0.17050925925925925</v>
      </c>
      <c r="AL34" s="120">
        <f t="shared" si="34"/>
        <v>22.9</v>
      </c>
      <c r="AM34" s="116">
        <f t="shared" si="34"/>
        <v>475</v>
      </c>
      <c r="AN34" s="120">
        <f t="shared" si="34"/>
        <v>26.225000000000001</v>
      </c>
      <c r="AO34" s="117">
        <f t="shared" ca="1" si="36"/>
        <v>5.8570072206700786E-3</v>
      </c>
      <c r="AP34" s="117">
        <f t="shared" si="37"/>
        <v>5.9898232521898489E-3</v>
      </c>
      <c r="AQ34" s="97">
        <f t="shared" si="35"/>
        <v>4</v>
      </c>
    </row>
    <row r="35" spans="1:43" s="95" customFormat="1" ht="11.25" customHeight="1">
      <c r="A35" s="102">
        <f t="shared" si="17"/>
        <v>27</v>
      </c>
      <c r="B35" s="103" t="s">
        <v>32</v>
      </c>
      <c r="C35" s="135" t="str">
        <f t="shared" si="26"/>
        <v>Lexen, Gert - too late</v>
      </c>
      <c r="D35" s="102" t="str">
        <f t="shared" si="1"/>
        <v>LG</v>
      </c>
      <c r="E35" s="103" t="s">
        <v>25</v>
      </c>
      <c r="F35" s="104">
        <v>1</v>
      </c>
      <c r="G35" s="102" t="str">
        <f t="shared" si="18"/>
        <v>FF1</v>
      </c>
      <c r="H35" s="102" t="str">
        <f t="shared" si="19"/>
        <v>FF1LG</v>
      </c>
      <c r="I35" s="105">
        <f t="shared" si="2"/>
        <v>7.2850000000000001</v>
      </c>
      <c r="J35" s="102">
        <f t="shared" si="38"/>
        <v>6</v>
      </c>
      <c r="K35" s="106">
        <f t="shared" si="3"/>
        <v>1.1061121252352</v>
      </c>
      <c r="L35" s="106">
        <f t="shared" si="4"/>
        <v>1</v>
      </c>
      <c r="M35" s="106">
        <f>VLOOKUP(O35-Parameters!$C$33,Zeit,2)</f>
        <v>1</v>
      </c>
      <c r="N35" s="84">
        <f t="shared" si="5"/>
        <v>1.1061121252352</v>
      </c>
      <c r="O35" s="107">
        <f t="shared" si="20"/>
        <v>2.6391166832373143</v>
      </c>
      <c r="P35" s="108">
        <f>VLOOKUP(H35,TimeBasis!A:B,2,FALSE)*N35</f>
        <v>4.3367852743488096E-2</v>
      </c>
      <c r="Q35" s="137" t="str">
        <f t="shared" si="6"/>
        <v>x</v>
      </c>
      <c r="R35" s="109">
        <f t="shared" si="7"/>
        <v>5.9530340073422226E-3</v>
      </c>
      <c r="S35" s="109" t="str">
        <f t="shared" si="24"/>
        <v/>
      </c>
      <c r="T35" s="110">
        <f t="shared" si="21"/>
        <v>2.3391898148148145</v>
      </c>
      <c r="U35" s="111"/>
      <c r="V35" s="111"/>
      <c r="W35" s="140">
        <f t="shared" si="22"/>
        <v>27</v>
      </c>
      <c r="X35" s="108" t="str">
        <f t="shared" si="8"/>
        <v/>
      </c>
      <c r="Y35" s="108" t="str">
        <f t="shared" si="23"/>
        <v/>
      </c>
      <c r="Z35" s="112" t="str">
        <f t="shared" si="9"/>
        <v/>
      </c>
      <c r="AA35" s="113" t="str">
        <f t="shared" si="10"/>
        <v/>
      </c>
      <c r="AB35" s="112">
        <f>IF(U35&gt;0,Z35+AA35*Climbfaktor/1000,VLOOKUP($E35,CoursesBasis!B$3:K$39,9,FALSE))</f>
        <v>0</v>
      </c>
      <c r="AC35" s="114" t="str">
        <f t="shared" si="25"/>
        <v/>
      </c>
      <c r="AD35" s="114" t="str">
        <f t="shared" si="11"/>
        <v/>
      </c>
      <c r="AE35" s="114" t="str">
        <f t="shared" si="12"/>
        <v/>
      </c>
      <c r="AF35" s="101"/>
      <c r="AG35" s="158" t="str">
        <f t="shared" si="31"/>
        <v>Ritter, Sigrun</v>
      </c>
      <c r="AH35" s="159"/>
      <c r="AI35" s="160"/>
      <c r="AJ35" s="115">
        <f t="shared" ca="1" si="32"/>
        <v>8.5579107698052742E-2</v>
      </c>
      <c r="AK35" s="115">
        <f t="shared" ca="1" si="33"/>
        <v>8.729166666666667E-2</v>
      </c>
      <c r="AL35" s="120">
        <f t="shared" si="34"/>
        <v>13.200000000000001</v>
      </c>
      <c r="AM35" s="116">
        <f t="shared" si="34"/>
        <v>185</v>
      </c>
      <c r="AN35" s="120">
        <f t="shared" si="34"/>
        <v>14.495000000000001</v>
      </c>
      <c r="AO35" s="117">
        <f t="shared" ca="1" si="36"/>
        <v>5.9040433044534489E-3</v>
      </c>
      <c r="AP35" s="117">
        <f t="shared" si="37"/>
        <v>5.505705574150547E-3</v>
      </c>
      <c r="AQ35" s="97">
        <f t="shared" si="35"/>
        <v>4</v>
      </c>
    </row>
    <row r="36" spans="1:43" s="95" customFormat="1" ht="11.25" customHeight="1">
      <c r="A36" s="102">
        <f t="shared" si="17"/>
        <v>27</v>
      </c>
      <c r="B36" s="103" t="s">
        <v>34</v>
      </c>
      <c r="C36" s="135" t="str">
        <f t="shared" si="26"/>
        <v>Lorenz-Baath, Katrin - too late</v>
      </c>
      <c r="D36" s="102" t="str">
        <f t="shared" si="1"/>
        <v>LK</v>
      </c>
      <c r="E36" s="103" t="s">
        <v>25</v>
      </c>
      <c r="F36" s="104">
        <v>2</v>
      </c>
      <c r="G36" s="102" t="str">
        <f t="shared" si="18"/>
        <v>FF2</v>
      </c>
      <c r="H36" s="102" t="str">
        <f t="shared" si="19"/>
        <v>FF2LK</v>
      </c>
      <c r="I36" s="105">
        <f t="shared" si="2"/>
        <v>6.67</v>
      </c>
      <c r="J36" s="102">
        <f t="shared" si="38"/>
        <v>6</v>
      </c>
      <c r="K36" s="106">
        <f t="shared" si="3"/>
        <v>1.1145711783190937</v>
      </c>
      <c r="L36" s="106">
        <f t="shared" si="4"/>
        <v>1</v>
      </c>
      <c r="M36" s="106">
        <f>VLOOKUP(O36-Parameters!$C$33,Zeit,2)</f>
        <v>1</v>
      </c>
      <c r="N36" s="84">
        <f t="shared" si="5"/>
        <v>1.1145711783190937</v>
      </c>
      <c r="O36" s="107">
        <f t="shared" si="20"/>
        <v>2.6824845359808025</v>
      </c>
      <c r="P36" s="108">
        <f>VLOOKUP(H36,TimeBasis!A:B,2,FALSE)*N36</f>
        <v>4.1301054218824199E-2</v>
      </c>
      <c r="Q36" s="137" t="str">
        <f t="shared" si="6"/>
        <v>x</v>
      </c>
      <c r="R36" s="109">
        <f t="shared" si="7"/>
        <v>6.1920621017727429E-3</v>
      </c>
      <c r="S36" s="109" t="str">
        <f t="shared" si="24"/>
        <v/>
      </c>
      <c r="T36" s="110">
        <f t="shared" si="21"/>
        <v>2.3391898148148145</v>
      </c>
      <c r="U36" s="111"/>
      <c r="V36" s="111"/>
      <c r="W36" s="140">
        <f t="shared" si="22"/>
        <v>27</v>
      </c>
      <c r="X36" s="108" t="str">
        <f t="shared" si="8"/>
        <v/>
      </c>
      <c r="Y36" s="108" t="str">
        <f t="shared" si="23"/>
        <v/>
      </c>
      <c r="Z36" s="112" t="str">
        <f t="shared" si="9"/>
        <v/>
      </c>
      <c r="AA36" s="113" t="str">
        <f t="shared" si="10"/>
        <v/>
      </c>
      <c r="AB36" s="112">
        <f>IF(U36&gt;0,Z36+AA36*Climbfaktor/1000,VLOOKUP($E36,CoursesBasis!B$3:K$39,9,FALSE))</f>
        <v>0</v>
      </c>
      <c r="AC36" s="114" t="str">
        <f t="shared" si="25"/>
        <v/>
      </c>
      <c r="AD36" s="114" t="str">
        <f t="shared" si="11"/>
        <v/>
      </c>
      <c r="AE36" s="114" t="str">
        <f t="shared" si="12"/>
        <v/>
      </c>
      <c r="AF36" s="101"/>
      <c r="AG36" s="158"/>
      <c r="AH36" s="159"/>
      <c r="AI36" s="160"/>
      <c r="AJ36" s="100">
        <f ca="1">SUM(AJ30:AJ35)+SUM(S:S)</f>
        <v>0.95353193969609817</v>
      </c>
      <c r="AK36" s="100">
        <f ca="1">SUM(AK30:AK35)+SUM(S:S)</f>
        <v>0.96418981481481481</v>
      </c>
      <c r="AL36" s="118">
        <f>SUM(AL30:AL35)</f>
        <v>151.39999999999998</v>
      </c>
      <c r="AM36" s="119">
        <f t="shared" ref="AM36:AN36" si="39">SUM(AM30:AM35)</f>
        <v>2660</v>
      </c>
      <c r="AN36" s="118">
        <f t="shared" si="39"/>
        <v>170.02</v>
      </c>
      <c r="AO36" s="121">
        <f ca="1">AVERAGE(AO30:AO35)</f>
        <v>5.628980658045412E-3</v>
      </c>
      <c r="AP36" s="121">
        <f>AVERAGE(AP30:AP35)</f>
        <v>5.395210068068053E-3</v>
      </c>
      <c r="AQ36" s="93">
        <f t="shared" ref="AQ36" si="40">SUM(AQ30:AQ35)</f>
        <v>28</v>
      </c>
    </row>
    <row r="37" spans="1:43" s="95" customFormat="1" ht="11.25" customHeight="1">
      <c r="A37" s="102">
        <f t="shared" si="17"/>
        <v>27</v>
      </c>
      <c r="B37" s="103" t="s">
        <v>35</v>
      </c>
      <c r="C37" s="135" t="str">
        <f t="shared" si="26"/>
        <v>Lexen, Dieter - too late</v>
      </c>
      <c r="D37" s="102" t="str">
        <f t="shared" si="1"/>
        <v>LD</v>
      </c>
      <c r="E37" s="103" t="s">
        <v>25</v>
      </c>
      <c r="F37" s="104">
        <v>3</v>
      </c>
      <c r="G37" s="102" t="str">
        <f t="shared" si="18"/>
        <v>FF3</v>
      </c>
      <c r="H37" s="102" t="str">
        <f t="shared" si="19"/>
        <v>FF3LD</v>
      </c>
      <c r="I37" s="105">
        <f t="shared" si="2"/>
        <v>7.14</v>
      </c>
      <c r="J37" s="102">
        <f t="shared" si="38"/>
        <v>6</v>
      </c>
      <c r="K37" s="106">
        <f t="shared" si="3"/>
        <v>1.1186148669656502</v>
      </c>
      <c r="L37" s="106">
        <f t="shared" si="4"/>
        <v>1</v>
      </c>
      <c r="M37" s="106">
        <f>VLOOKUP(O37-Parameters!$C$33,Zeit,2)</f>
        <v>1</v>
      </c>
      <c r="N37" s="84">
        <f t="shared" si="5"/>
        <v>1.1186148669656502</v>
      </c>
      <c r="O37" s="107">
        <f t="shared" si="20"/>
        <v>2.7237855901996268</v>
      </c>
      <c r="P37" s="108">
        <f>VLOOKUP(H37,TimeBasis!A:B,2,FALSE)*N37</f>
        <v>4.2985106710794627E-2</v>
      </c>
      <c r="Q37" s="137" t="str">
        <f t="shared" si="6"/>
        <v>x</v>
      </c>
      <c r="R37" s="109">
        <f t="shared" si="7"/>
        <v>6.0203230687387432E-3</v>
      </c>
      <c r="S37" s="109" t="str">
        <f t="shared" si="24"/>
        <v/>
      </c>
      <c r="T37" s="110">
        <f t="shared" si="21"/>
        <v>2.3391898148148145</v>
      </c>
      <c r="U37" s="111"/>
      <c r="V37" s="111"/>
      <c r="W37" s="140">
        <f t="shared" si="22"/>
        <v>27</v>
      </c>
      <c r="X37" s="108" t="str">
        <f t="shared" si="8"/>
        <v/>
      </c>
      <c r="Y37" s="108" t="str">
        <f t="shared" si="23"/>
        <v/>
      </c>
      <c r="Z37" s="112" t="str">
        <f t="shared" si="9"/>
        <v/>
      </c>
      <c r="AA37" s="113" t="str">
        <f t="shared" si="10"/>
        <v/>
      </c>
      <c r="AB37" s="112">
        <f>IF(U37&gt;0,Z37+AA37*Climbfaktor/1000,VLOOKUP($E37,CoursesBasis!B$3:K$39,9,FALSE))</f>
        <v>0</v>
      </c>
      <c r="AC37" s="114" t="str">
        <f t="shared" si="25"/>
        <v/>
      </c>
      <c r="AD37" s="114" t="str">
        <f t="shared" si="11"/>
        <v/>
      </c>
      <c r="AE37" s="114" t="str">
        <f t="shared" si="12"/>
        <v/>
      </c>
      <c r="AF37" s="101"/>
    </row>
    <row r="38" spans="1:43" s="95" customFormat="1" ht="11.25" customHeight="1">
      <c r="A38" s="102">
        <f t="shared" si="17"/>
        <v>27</v>
      </c>
      <c r="B38" s="103" t="s">
        <v>37</v>
      </c>
      <c r="C38" s="135" t="str">
        <f t="shared" si="26"/>
        <v>Ritter, Sigrun - too late</v>
      </c>
      <c r="D38" s="102" t="str">
        <f t="shared" si="1"/>
        <v>RS</v>
      </c>
      <c r="E38" s="103" t="s">
        <v>25</v>
      </c>
      <c r="F38" s="104">
        <v>4</v>
      </c>
      <c r="G38" s="102" t="str">
        <f t="shared" si="18"/>
        <v>FF4</v>
      </c>
      <c r="H38" s="102" t="str">
        <f t="shared" si="19"/>
        <v>FF4RS</v>
      </c>
      <c r="I38" s="105">
        <f t="shared" si="2"/>
        <v>5.05</v>
      </c>
      <c r="J38" s="102">
        <f t="shared" si="27"/>
        <v>6</v>
      </c>
      <c r="K38" s="106">
        <f t="shared" si="3"/>
        <v>1.1378297294921875</v>
      </c>
      <c r="L38" s="106">
        <f t="shared" si="4"/>
        <v>1</v>
      </c>
      <c r="M38" s="106">
        <f>VLOOKUP(O38-Parameters!$C$33,Zeit,2)</f>
        <v>1</v>
      </c>
      <c r="N38" s="84">
        <f t="shared" si="5"/>
        <v>1.1378297294921875</v>
      </c>
      <c r="O38" s="107">
        <f t="shared" si="20"/>
        <v>2.7667706969104215</v>
      </c>
      <c r="P38" s="108">
        <f>VLOOKUP(H38,TimeBasis!A:B,2,FALSE)*N38</f>
        <v>3.3917598012813986E-2</v>
      </c>
      <c r="Q38" s="137" t="str">
        <f t="shared" si="6"/>
        <v>x</v>
      </c>
      <c r="R38" s="109">
        <f t="shared" si="7"/>
        <v>6.7163560421413847E-3</v>
      </c>
      <c r="S38" s="109" t="str">
        <f t="shared" si="24"/>
        <v/>
      </c>
      <c r="T38" s="110">
        <f t="shared" si="21"/>
        <v>2.3391898148148145</v>
      </c>
      <c r="U38" s="111"/>
      <c r="V38" s="111"/>
      <c r="W38" s="140">
        <f t="shared" si="22"/>
        <v>27</v>
      </c>
      <c r="X38" s="108" t="str">
        <f>IF(U38&gt;0,IF(U38&lt;P38,"-","+")&amp;TEXT(ABS(U38-P38),"[m]:ss"),"")</f>
        <v/>
      </c>
      <c r="Y38" s="108" t="str">
        <f t="shared" si="23"/>
        <v/>
      </c>
      <c r="Z38" s="112" t="str">
        <f t="shared" si="9"/>
        <v/>
      </c>
      <c r="AA38" s="113" t="str">
        <f t="shared" si="10"/>
        <v/>
      </c>
      <c r="AB38" s="112">
        <f>IF(U38&gt;0,Z38+AA38*Climbfaktor/1000,VLOOKUP($E38,CoursesBasis!B$3:K$39,9,FALSE))</f>
        <v>0</v>
      </c>
      <c r="AC38" s="114" t="str">
        <f t="shared" si="25"/>
        <v/>
      </c>
      <c r="AD38" s="114" t="str">
        <f t="shared" si="11"/>
        <v/>
      </c>
      <c r="AE38" s="114" t="str">
        <f t="shared" si="12"/>
        <v/>
      </c>
      <c r="AF38" s="101"/>
      <c r="AG38" s="155" t="s">
        <v>50</v>
      </c>
      <c r="AH38" s="156"/>
      <c r="AI38" s="157"/>
      <c r="AJ38" s="115">
        <f>Startzeit</f>
        <v>1.375</v>
      </c>
    </row>
    <row r="39" spans="1:43" s="95" customFormat="1" ht="11.25" customHeight="1">
      <c r="A39" s="102">
        <f t="shared" si="17"/>
        <v>27</v>
      </c>
      <c r="B39" s="103" t="s">
        <v>28</v>
      </c>
      <c r="C39" s="135" t="str">
        <f t="shared" si="26"/>
        <v>Ehrl, Lionel - too late</v>
      </c>
      <c r="D39" s="102" t="str">
        <f t="shared" si="1"/>
        <v>EL</v>
      </c>
      <c r="E39" s="103" t="s">
        <v>25</v>
      </c>
      <c r="F39" s="104">
        <v>5</v>
      </c>
      <c r="G39" s="102" t="str">
        <f t="shared" si="18"/>
        <v>FF5</v>
      </c>
      <c r="H39" s="102" t="str">
        <f t="shared" si="19"/>
        <v>FF5EL</v>
      </c>
      <c r="I39" s="105">
        <f t="shared" si="2"/>
        <v>7.2299999999999995</v>
      </c>
      <c r="J39" s="102">
        <f t="shared" si="27"/>
        <v>7</v>
      </c>
      <c r="K39" s="106">
        <f t="shared" si="3"/>
        <v>1.103352203871462</v>
      </c>
      <c r="L39" s="106">
        <f t="shared" si="4"/>
        <v>1</v>
      </c>
      <c r="M39" s="106">
        <f>VLOOKUP(O39-Parameters!$C$33,Zeit,2)</f>
        <v>1</v>
      </c>
      <c r="N39" s="84">
        <f t="shared" si="5"/>
        <v>1.103352203871462</v>
      </c>
      <c r="O39" s="107">
        <f t="shared" si="20"/>
        <v>2.8006882949232357</v>
      </c>
      <c r="P39" s="108">
        <f>VLOOKUP(H39,TimeBasis!A:B,2,FALSE)*N39</f>
        <v>3.8778232665232427E-2</v>
      </c>
      <c r="Q39" s="137" t="str">
        <f t="shared" si="6"/>
        <v>x</v>
      </c>
      <c r="R39" s="109">
        <f t="shared" si="7"/>
        <v>5.3635176577084961E-3</v>
      </c>
      <c r="S39" s="109" t="str">
        <f t="shared" si="24"/>
        <v/>
      </c>
      <c r="T39" s="110">
        <f t="shared" si="21"/>
        <v>2.3391898148148145</v>
      </c>
      <c r="U39" s="111"/>
      <c r="V39" s="111"/>
      <c r="W39" s="140">
        <f t="shared" si="22"/>
        <v>27</v>
      </c>
      <c r="X39" s="108" t="str">
        <f>IF(U39&gt;0,IF(U39&lt;P39,"-","+")&amp;TEXT(ABS(U39-P39),"[m]:ss"),"")</f>
        <v/>
      </c>
      <c r="Y39" s="108" t="str">
        <f t="shared" si="23"/>
        <v/>
      </c>
      <c r="Z39" s="112" t="str">
        <f t="shared" si="9"/>
        <v/>
      </c>
      <c r="AA39" s="113" t="str">
        <f t="shared" si="10"/>
        <v/>
      </c>
      <c r="AB39" s="112">
        <f>IF(U39&gt;0,Z39+AA39*Climbfaktor/1000,VLOOKUP($E39,CoursesBasis!B$3:K$39,9,FALSE))</f>
        <v>0</v>
      </c>
      <c r="AC39" s="114" t="str">
        <f t="shared" si="25"/>
        <v/>
      </c>
      <c r="AD39" s="114" t="str">
        <f t="shared" si="11"/>
        <v/>
      </c>
      <c r="AE39" s="114" t="str">
        <f t="shared" si="12"/>
        <v/>
      </c>
      <c r="AF39" s="101"/>
      <c r="AG39" s="155" t="s">
        <v>90</v>
      </c>
      <c r="AH39" s="156"/>
      <c r="AI39" s="157"/>
      <c r="AJ39" s="115">
        <f>Dämmerungszeit</f>
        <v>1.8125</v>
      </c>
    </row>
    <row r="40" spans="1:43" s="95" customFormat="1" ht="11.25" customHeight="1">
      <c r="A40" s="102">
        <f t="shared" si="17"/>
        <v>27</v>
      </c>
      <c r="B40" s="103" t="s">
        <v>30</v>
      </c>
      <c r="C40" s="135" t="str">
        <f t="shared" si="26"/>
        <v>Baath, Veikko - too late</v>
      </c>
      <c r="D40" s="102" t="str">
        <f t="shared" si="1"/>
        <v>BV</v>
      </c>
      <c r="E40" s="103" t="s">
        <v>25</v>
      </c>
      <c r="F40" s="104">
        <v>6</v>
      </c>
      <c r="G40" s="102" t="str">
        <f t="shared" si="18"/>
        <v>FF6</v>
      </c>
      <c r="H40" s="102" t="str">
        <f t="shared" si="19"/>
        <v>FF6BV</v>
      </c>
      <c r="I40" s="105">
        <f t="shared" si="2"/>
        <v>6.91</v>
      </c>
      <c r="J40" s="102">
        <f t="shared" si="27"/>
        <v>7</v>
      </c>
      <c r="K40" s="106">
        <f t="shared" si="3"/>
        <v>1.1248529306510708</v>
      </c>
      <c r="L40" s="106">
        <f t="shared" si="4"/>
        <v>1</v>
      </c>
      <c r="M40" s="106">
        <f>VLOOKUP(O40-Parameters!$C$33,Zeit,2)</f>
        <v>1</v>
      </c>
      <c r="N40" s="84">
        <f>K40*L40*M40</f>
        <v>1.1248529306510708</v>
      </c>
      <c r="O40" s="107">
        <f t="shared" si="20"/>
        <v>2.8394665275884683</v>
      </c>
      <c r="P40" s="108">
        <f>VLOOKUP(H40,TimeBasis!A:B,2,FALSE)*N40</f>
        <v>4.0932799266359947E-2</v>
      </c>
      <c r="Q40" s="137" t="str">
        <f t="shared" si="6"/>
        <v>x</v>
      </c>
      <c r="R40" s="109">
        <f t="shared" si="7"/>
        <v>5.9237046695166341E-3</v>
      </c>
      <c r="S40" s="109" t="str">
        <f t="shared" si="24"/>
        <v/>
      </c>
      <c r="T40" s="110">
        <f t="shared" si="21"/>
        <v>2.3391898148148145</v>
      </c>
      <c r="U40" s="111"/>
      <c r="V40" s="111"/>
      <c r="W40" s="140">
        <f t="shared" si="22"/>
        <v>27</v>
      </c>
      <c r="X40" s="108" t="str">
        <f>IF(U40&gt;0,IF(U40&lt;P40,"-","+")&amp;TEXT(ABS(U40-P40),"[m]:ss"),"")</f>
        <v/>
      </c>
      <c r="Y40" s="108" t="str">
        <f t="shared" si="23"/>
        <v/>
      </c>
      <c r="Z40" s="112" t="str">
        <f t="shared" si="9"/>
        <v/>
      </c>
      <c r="AA40" s="113" t="str">
        <f t="shared" si="10"/>
        <v/>
      </c>
      <c r="AB40" s="112">
        <f>IF(U40&gt;0,Z40+AA40*Climbfaktor/1000,VLOOKUP($E40,CoursesBasis!B$3:K$39,9,FALSE))</f>
        <v>0</v>
      </c>
      <c r="AC40" s="114" t="str">
        <f t="shared" si="25"/>
        <v/>
      </c>
      <c r="AD40" s="114" t="str">
        <f t="shared" si="11"/>
        <v/>
      </c>
      <c r="AE40" s="114" t="str">
        <f t="shared" si="12"/>
        <v/>
      </c>
      <c r="AF40" s="101"/>
      <c r="AG40" s="155" t="s">
        <v>91</v>
      </c>
      <c r="AH40" s="156"/>
      <c r="AI40" s="157"/>
      <c r="AJ40" s="115">
        <f>Zielzeit</f>
        <v>2.375</v>
      </c>
    </row>
    <row r="41" spans="1:43" s="95" customFormat="1" ht="11.25" customHeight="1">
      <c r="A41" s="123"/>
      <c r="B41" s="123"/>
      <c r="C41" s="124"/>
      <c r="D41" s="123"/>
      <c r="E41" s="123"/>
      <c r="F41" s="125"/>
      <c r="G41" s="125"/>
      <c r="H41" s="123"/>
      <c r="I41" s="126"/>
      <c r="J41" s="123"/>
      <c r="K41" s="127"/>
      <c r="L41" s="127"/>
      <c r="M41" s="127"/>
      <c r="N41" s="127"/>
      <c r="O41" s="128"/>
      <c r="P41" s="129">
        <f>SUM(P3:P40)</f>
        <v>1.5053993268548285</v>
      </c>
      <c r="Q41" s="138"/>
      <c r="R41" s="129"/>
      <c r="S41" s="130"/>
      <c r="T41" s="131">
        <f t="shared" si="21"/>
        <v>2.3391898148148145</v>
      </c>
      <c r="U41" s="129">
        <f>SUM(U3:U40)</f>
        <v>0.96418981481481458</v>
      </c>
      <c r="V41" s="129"/>
      <c r="W41" s="125"/>
      <c r="X41" s="129"/>
      <c r="Y41" s="129">
        <f>SUM(Y3:Y40)</f>
        <v>0</v>
      </c>
      <c r="Z41" s="132">
        <f>SUM(Z3:Z40)</f>
        <v>151.4</v>
      </c>
      <c r="AA41" s="133">
        <f>SUM(AA3:AA40)</f>
        <v>2660</v>
      </c>
      <c r="AB41" s="132">
        <f>AVERAGE(AB3:AB40)</f>
        <v>4.4742105263157894</v>
      </c>
      <c r="AC41" s="134"/>
      <c r="AD41" s="134"/>
      <c r="AE41" s="134"/>
      <c r="AF41" s="129"/>
      <c r="AG41" s="94"/>
      <c r="AH41" s="94"/>
      <c r="AI41" s="94"/>
    </row>
  </sheetData>
  <mergeCells count="25">
    <mergeCell ref="AG20:AI20"/>
    <mergeCell ref="AG21:AI21"/>
    <mergeCell ref="AG22:AI22"/>
    <mergeCell ref="AG23:AI23"/>
    <mergeCell ref="AG2:AH2"/>
    <mergeCell ref="AG17:AI17"/>
    <mergeCell ref="AG18:AI18"/>
    <mergeCell ref="AG19:AI19"/>
    <mergeCell ref="AG39:AI39"/>
    <mergeCell ref="AG40:AI40"/>
    <mergeCell ref="AG29:AI29"/>
    <mergeCell ref="AG30:AI30"/>
    <mergeCell ref="AG31:AI31"/>
    <mergeCell ref="AG32:AI32"/>
    <mergeCell ref="AG33:AI33"/>
    <mergeCell ref="AG34:AI34"/>
    <mergeCell ref="AG35:AI35"/>
    <mergeCell ref="AG36:AI36"/>
    <mergeCell ref="AG38:AI38"/>
    <mergeCell ref="K1:N1"/>
    <mergeCell ref="AC1:AE1"/>
    <mergeCell ref="A1:D1"/>
    <mergeCell ref="O1:S1"/>
    <mergeCell ref="E1:I1"/>
    <mergeCell ref="T1:AB1"/>
  </mergeCells>
  <phoneticPr fontId="1" type="noConversion"/>
  <conditionalFormatting sqref="O4:O41 E4:F40 O3:Q40 S41:T41">
    <cfRule type="expression" dxfId="23" priority="45" stopIfTrue="1">
      <formula>OR(AND($O2&lt;Twilight,$O3&gt;=Twilight),AND($O1&lt;Twilight,$O2&gt;=Twilight))</formula>
    </cfRule>
  </conditionalFormatting>
  <conditionalFormatting sqref="U9:V40 M9:Q40 B3:B40 J9:J40 AC9:AD40 E9:F40 O3:Q40">
    <cfRule type="expression" dxfId="22" priority="46" stopIfTrue="1">
      <formula>$T4&gt;Endzeit</formula>
    </cfRule>
  </conditionalFormatting>
  <conditionalFormatting sqref="D3:D40">
    <cfRule type="expression" dxfId="21" priority="35" stopIfTrue="1">
      <formula>$T4&gt;Endzeit</formula>
    </cfRule>
  </conditionalFormatting>
  <conditionalFormatting sqref="P17:Q17">
    <cfRule type="expression" dxfId="20" priority="34" stopIfTrue="1">
      <formula>OR(AND($O16&lt;Twilight,$O17&gt;=Twilight),AND($O15&lt;Twilight,$O16&gt;=Twilight))</formula>
    </cfRule>
  </conditionalFormatting>
  <conditionalFormatting sqref="P3:Q40">
    <cfRule type="expression" dxfId="19" priority="33" stopIfTrue="1">
      <formula>OR(AND($O2&lt;Twilight,$O3&gt;=Twilight),AND($O1&lt;Twilight,$O2&gt;=Twilight))</formula>
    </cfRule>
  </conditionalFormatting>
  <conditionalFormatting sqref="AE3:AE40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40">
    <cfRule type="expression" dxfId="18" priority="27" stopIfTrue="1">
      <formula>OR(AND($O2&lt;Twilight,$O3&gt;=Twilight),AND($O1&lt;Twilight,$O2&gt;=Twilight))</formula>
    </cfRule>
  </conditionalFormatting>
  <conditionalFormatting sqref="R3:R40">
    <cfRule type="expression" dxfId="17" priority="28" stopIfTrue="1">
      <formula>$T4&gt;Endzeit</formula>
    </cfRule>
  </conditionalFormatting>
  <conditionalFormatting sqref="R3:R40">
    <cfRule type="expression" dxfId="16" priority="26" stopIfTrue="1">
      <formula>OR(AND($O2&lt;Twilight,$O3&gt;=Twilight),AND($O1&lt;Twilight,$O2&gt;=Twilight))</formula>
    </cfRule>
  </conditionalFormatting>
  <conditionalFormatting sqref="S3:S40">
    <cfRule type="expression" dxfId="15" priority="24" stopIfTrue="1">
      <formula>OR(AND($O2&lt;Twilight,$O3&gt;=Twilight),AND($O1&lt;Twilight,$O2&gt;=Twilight))</formula>
    </cfRule>
  </conditionalFormatting>
  <conditionalFormatting sqref="S3:S40">
    <cfRule type="expression" dxfId="14" priority="25" stopIfTrue="1">
      <formula>$T4&gt;Endzeit</formula>
    </cfRule>
  </conditionalFormatting>
  <conditionalFormatting sqref="S3:S40">
    <cfRule type="expression" dxfId="13" priority="23" stopIfTrue="1">
      <formula>OR(AND($O2&lt;Twilight,$O3&gt;=Twilight),AND($O1&lt;Twilight,$O2&gt;=Twilight))</formula>
    </cfRule>
  </conditionalFormatting>
  <conditionalFormatting sqref="AC3:AC40">
    <cfRule type="cellIs" dxfId="12" priority="53" stopIfTrue="1" operator="greaterThan">
      <formula>#REF!</formula>
    </cfRule>
    <cfRule type="cellIs" dxfId="11" priority="54" stopIfTrue="1" operator="lessThanOrEqual">
      <formula>$AB3</formula>
    </cfRule>
  </conditionalFormatting>
  <conditionalFormatting sqref="B3:B40">
    <cfRule type="expression" dxfId="10" priority="21" stopIfTrue="1">
      <formula>OR(AND($O2&lt;Twilight,$O3&gt;=Twilight),AND($O1&lt;Twilight,$O2&gt;=Twilight))</formula>
    </cfRule>
  </conditionalFormatting>
  <conditionalFormatting sqref="AJ4:AJ1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14">
    <cfRule type="colorScale" priority="19">
      <colorScale>
        <cfvo type="num" val="-3"/>
        <cfvo type="num" val="0"/>
        <cfvo type="num" val="3"/>
        <color rgb="FF63BE7B"/>
        <color rgb="FFFFEB84"/>
        <color rgb="FFF8696B"/>
      </colorScale>
    </cfRule>
  </conditionalFormatting>
  <conditionalFormatting sqref="AK3:AO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C40">
    <cfRule type="expression" dxfId="9" priority="15">
      <formula>$Q3="x"</formula>
    </cfRule>
    <cfRule type="expression" dxfId="8" priority="16" stopIfTrue="1">
      <formula>OR(AND($O2&lt;Twilight,$O3&gt;=Twilight),AND($O1&lt;Twilight,$O2&gt;=Twilight))</formula>
    </cfRule>
  </conditionalFormatting>
  <conditionalFormatting sqref="C3:C40">
    <cfRule type="expression" dxfId="7" priority="17" stopIfTrue="1">
      <formula>$T4&gt;Endzeit</formula>
    </cfRule>
  </conditionalFormatting>
  <conditionalFormatting sqref="Y3:Y40">
    <cfRule type="expression" dxfId="6" priority="12" stopIfTrue="1">
      <formula>OR(AND($O2&lt;Twilight,$O3&gt;=Twilight),AND($O1&lt;Twilight,$O2&gt;=Twilight))</formula>
    </cfRule>
  </conditionalFormatting>
  <conditionalFormatting sqref="Y3:Y40">
    <cfRule type="expression" dxfId="5" priority="13" stopIfTrue="1">
      <formula>$T4&gt;Endzeit</formula>
    </cfRule>
  </conditionalFormatting>
  <conditionalFormatting sqref="Y17">
    <cfRule type="expression" dxfId="4" priority="11" stopIfTrue="1">
      <formula>OR(AND($O16&lt;Twilight,$O17&gt;=Twilight),AND($O15&lt;Twilight,$O16&gt;=Twilight))</formula>
    </cfRule>
  </conditionalFormatting>
  <conditionalFormatting sqref="Y3:Y40">
    <cfRule type="expression" dxfId="3" priority="10" stopIfTrue="1">
      <formula>OR(AND($O2&lt;Twilight,$O3&gt;=Twilight),AND($O1&lt;Twilight,$O2&gt;=Twilight))</formula>
    </cfRule>
  </conditionalFormatting>
  <conditionalFormatting sqref="X3:X40">
    <cfRule type="expression" dxfId="2" priority="2" stopIfTrue="1">
      <formula>OR(AND($O2&lt;Twilight,$O3&gt;=Twilight),AND($O1&lt;Twilight,$O2&gt;=Twilight))</formula>
    </cfRule>
  </conditionalFormatting>
  <conditionalFormatting sqref="X3:X40">
    <cfRule type="expression" dxfId="1" priority="3" stopIfTrue="1">
      <formula>$T4&gt;Endzeit</formula>
    </cfRule>
  </conditionalFormatting>
  <conditionalFormatting sqref="X3:X40">
    <cfRule type="expression" dxfId="0" priority="1" stopIfTrue="1">
      <formula>OR(AND($O2&lt;Twilight,$O3&gt;=Twilight),AND($O1&lt;Twilight,$O2&gt;=Twilight))</formula>
    </cfRule>
  </conditionalFormatting>
  <printOptions horizontalCentered="1" verticalCentered="1"/>
  <pageMargins left="0.19685039370078741" right="0.19685039370078741" top="0.47244094488188981" bottom="0.27559055118110237" header="0.23622047244094491" footer="0.15748031496062992"/>
  <pageSetup paperSize="9" scale="150" fitToHeight="2" orientation="landscape" horizontalDpi="4294967293" r:id="rId1"/>
  <headerFooter alignWithMargins="0">
    <oddHeader>&amp;L&amp;8 24-h-OL am 16./17.05.2015&amp;C&amp;"Arial,Fett"&amp;8 Team  25: 's passt scho&amp;R&amp;8Karolinenfield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workbookViewId="0">
      <selection activeCell="Q5" sqref="Q5"/>
    </sheetView>
  </sheetViews>
  <sheetFormatPr baseColWidth="10" defaultColWidth="9.140625" defaultRowHeight="12.75"/>
  <cols>
    <col min="1" max="1" width="18.85546875" bestFit="1" customWidth="1"/>
    <col min="2" max="2" width="5.7109375" bestFit="1" customWidth="1"/>
    <col min="3" max="3" width="2" bestFit="1" customWidth="1"/>
    <col min="4" max="4" width="13.5703125" bestFit="1" customWidth="1"/>
    <col min="5" max="5" width="1.140625" customWidth="1"/>
    <col min="6" max="6" width="5.7109375" bestFit="1" customWidth="1"/>
    <col min="7" max="7" width="5.5703125" bestFit="1" customWidth="1"/>
    <col min="8" max="8" width="6.140625" bestFit="1" customWidth="1"/>
    <col min="9" max="9" width="6" bestFit="1" customWidth="1"/>
    <col min="10" max="10" width="6.5703125" bestFit="1" customWidth="1"/>
    <col min="11" max="11" width="7.5703125" bestFit="1" customWidth="1"/>
    <col min="12" max="12" width="1" customWidth="1"/>
    <col min="13" max="18" width="7.140625" bestFit="1" customWidth="1"/>
    <col min="19" max="19" width="1" customWidth="1"/>
    <col min="20" max="25" width="3.7109375" customWidth="1"/>
    <col min="26" max="26" width="1" customWidth="1"/>
    <col min="27" max="32" width="3.7109375" customWidth="1"/>
  </cols>
  <sheetData>
    <row r="1" spans="1:32" ht="15.75">
      <c r="A1" s="3"/>
      <c r="B1" s="3"/>
      <c r="C1" s="3"/>
      <c r="D1" s="3"/>
      <c r="E1" s="7"/>
      <c r="F1" s="3"/>
      <c r="G1" s="3"/>
      <c r="H1" s="3"/>
      <c r="I1" s="3"/>
      <c r="J1" s="3"/>
      <c r="K1" s="3"/>
      <c r="L1" s="7"/>
      <c r="M1" s="168" t="s">
        <v>75</v>
      </c>
      <c r="N1" s="169"/>
      <c r="O1" s="169"/>
      <c r="P1" s="169"/>
      <c r="Q1" s="169"/>
      <c r="R1" s="170"/>
      <c r="S1" s="7"/>
      <c r="T1" s="165" t="s">
        <v>103</v>
      </c>
      <c r="U1" s="166"/>
      <c r="V1" s="166"/>
      <c r="W1" s="166"/>
      <c r="X1" s="166"/>
      <c r="Y1" s="167"/>
      <c r="Z1" s="7"/>
      <c r="AA1" s="162" t="s">
        <v>74</v>
      </c>
      <c r="AB1" s="163"/>
      <c r="AC1" s="163"/>
      <c r="AD1" s="163"/>
      <c r="AE1" s="163"/>
      <c r="AF1" s="164"/>
    </row>
    <row r="2" spans="1:32">
      <c r="A2" s="1" t="s">
        <v>42</v>
      </c>
      <c r="B2" s="1" t="s">
        <v>111</v>
      </c>
      <c r="C2" s="1" t="s">
        <v>41</v>
      </c>
      <c r="D2" s="1" t="s">
        <v>45</v>
      </c>
      <c r="E2" s="11"/>
      <c r="F2" s="1" t="s">
        <v>44</v>
      </c>
      <c r="G2" s="1" t="s">
        <v>69</v>
      </c>
      <c r="H2" s="1" t="s">
        <v>68</v>
      </c>
      <c r="I2" s="1" t="s">
        <v>26</v>
      </c>
      <c r="J2" s="1" t="s">
        <v>27</v>
      </c>
      <c r="K2" s="1" t="s">
        <v>58</v>
      </c>
      <c r="L2" s="11"/>
      <c r="M2" s="1" t="str">
        <f>Parameters!D13</f>
        <v>EL</v>
      </c>
      <c r="N2" s="1" t="str">
        <f>Parameters!E13</f>
        <v>BV</v>
      </c>
      <c r="O2" s="1" t="str">
        <f>Parameters!F13</f>
        <v>LG</v>
      </c>
      <c r="P2" s="1" t="str">
        <f>Parameters!G13</f>
        <v>LK</v>
      </c>
      <c r="Q2" s="1" t="str">
        <f>Parameters!H13</f>
        <v>LD</v>
      </c>
      <c r="R2" s="1" t="str">
        <f>Parameters!I13</f>
        <v>RS</v>
      </c>
      <c r="S2" s="7"/>
      <c r="T2" s="12" t="s">
        <v>38</v>
      </c>
      <c r="U2" s="12" t="s">
        <v>40</v>
      </c>
      <c r="V2" s="12" t="s">
        <v>39</v>
      </c>
      <c r="W2" s="12"/>
      <c r="X2" s="12" t="s">
        <v>101</v>
      </c>
      <c r="Y2" s="12"/>
      <c r="Z2" s="11"/>
      <c r="AA2" s="14" t="s">
        <v>38</v>
      </c>
      <c r="AB2" s="14" t="s">
        <v>39</v>
      </c>
      <c r="AC2" s="14" t="s">
        <v>19</v>
      </c>
      <c r="AD2" s="14" t="s">
        <v>70</v>
      </c>
      <c r="AE2" s="14" t="s">
        <v>40</v>
      </c>
      <c r="AF2" s="14" t="s">
        <v>66</v>
      </c>
    </row>
    <row r="3" spans="1:32">
      <c r="A3" s="1" t="s">
        <v>2</v>
      </c>
      <c r="B3" s="1" t="s">
        <v>14</v>
      </c>
      <c r="C3" s="42">
        <v>1</v>
      </c>
      <c r="D3" s="2" t="s">
        <v>34</v>
      </c>
      <c r="E3" s="7"/>
      <c r="F3" s="1" t="s">
        <v>144</v>
      </c>
      <c r="G3" s="64">
        <v>5.0999999999999996</v>
      </c>
      <c r="H3" s="64"/>
      <c r="I3" s="42">
        <v>80</v>
      </c>
      <c r="J3" s="42"/>
      <c r="K3" s="8">
        <f t="shared" ref="K3:K40" si="0">SUM(G3:H3)/COUNTA(G3:H3)+SUM(I3:J3)/COUNTA(I3:J3)*Climbfaktor/1000</f>
        <v>5.66</v>
      </c>
      <c r="L3" s="7"/>
      <c r="M3" s="56">
        <f t="shared" ref="M3:R13" si="1">VLOOKUP(M$2,Basis,2,FALSE)*VLOOKUP($B3,Schwierigkeit,2,FALSE)*$K3</f>
        <v>2.751388888888889E-2</v>
      </c>
      <c r="N3" s="56">
        <f t="shared" si="1"/>
        <v>2.9806712962962962E-2</v>
      </c>
      <c r="O3" s="56">
        <f t="shared" si="1"/>
        <v>3.0461805555555561E-2</v>
      </c>
      <c r="P3" s="56">
        <f t="shared" si="1"/>
        <v>3.1444444444444448E-2</v>
      </c>
      <c r="Q3" s="56">
        <f t="shared" si="1"/>
        <v>3.0461805555555561E-2</v>
      </c>
      <c r="R3" s="56">
        <f t="shared" si="1"/>
        <v>3.3409722222222223E-2</v>
      </c>
      <c r="S3" s="7"/>
      <c r="T3" s="13">
        <v>31</v>
      </c>
      <c r="U3" s="13"/>
      <c r="V3" s="13"/>
      <c r="W3" s="13"/>
      <c r="X3" s="13"/>
      <c r="Y3" s="13"/>
      <c r="Z3" s="7"/>
      <c r="AA3" s="15">
        <v>30</v>
      </c>
      <c r="AB3" s="15"/>
      <c r="AC3" s="15"/>
      <c r="AD3" s="15"/>
      <c r="AE3" s="15"/>
      <c r="AF3" s="15"/>
    </row>
    <row r="4" spans="1:32">
      <c r="A4" s="1" t="s">
        <v>3</v>
      </c>
      <c r="B4" s="1" t="s">
        <v>15</v>
      </c>
      <c r="C4" s="42">
        <v>4</v>
      </c>
      <c r="D4" s="2" t="s">
        <v>35</v>
      </c>
      <c r="E4" s="7"/>
      <c r="F4" s="1" t="s">
        <v>107</v>
      </c>
      <c r="G4" s="64">
        <v>3.5</v>
      </c>
      <c r="H4" s="64"/>
      <c r="I4" s="42">
        <v>55</v>
      </c>
      <c r="J4" s="42"/>
      <c r="K4" s="8">
        <f t="shared" si="0"/>
        <v>3.8849999999999998</v>
      </c>
      <c r="L4" s="7"/>
      <c r="M4" s="56">
        <f t="shared" si="1"/>
        <v>1.6996875000000002E-2</v>
      </c>
      <c r="N4" s="56">
        <f t="shared" si="1"/>
        <v>1.841328125E-2</v>
      </c>
      <c r="O4" s="56">
        <f t="shared" si="1"/>
        <v>1.881796875E-2</v>
      </c>
      <c r="P4" s="56">
        <f t="shared" si="1"/>
        <v>1.9424999999999998E-2</v>
      </c>
      <c r="Q4" s="56">
        <f t="shared" si="1"/>
        <v>1.881796875E-2</v>
      </c>
      <c r="R4" s="56">
        <f t="shared" si="1"/>
        <v>2.0639062499999999E-2</v>
      </c>
      <c r="S4" s="7"/>
      <c r="T4" s="13"/>
      <c r="U4" s="13"/>
      <c r="V4" s="13"/>
      <c r="W4" s="13"/>
      <c r="X4" s="13">
        <v>37</v>
      </c>
      <c r="Y4" s="13"/>
      <c r="Z4" s="7"/>
      <c r="AA4" s="15"/>
      <c r="AB4" s="15"/>
      <c r="AC4" s="15"/>
      <c r="AD4" s="15"/>
      <c r="AE4" s="15"/>
      <c r="AF4" s="15">
        <v>37</v>
      </c>
    </row>
    <row r="5" spans="1:32">
      <c r="A5" s="1" t="s">
        <v>3</v>
      </c>
      <c r="B5" s="1" t="s">
        <v>15</v>
      </c>
      <c r="C5" s="42">
        <v>4</v>
      </c>
      <c r="D5" s="2" t="s">
        <v>35</v>
      </c>
      <c r="E5" s="7"/>
      <c r="F5" s="1" t="s">
        <v>108</v>
      </c>
      <c r="G5" s="64">
        <v>3.8</v>
      </c>
      <c r="H5" s="64"/>
      <c r="I5" s="42">
        <v>40</v>
      </c>
      <c r="J5" s="42"/>
      <c r="K5" s="8">
        <f t="shared" si="0"/>
        <v>4.08</v>
      </c>
      <c r="L5" s="7"/>
      <c r="M5" s="56">
        <f t="shared" si="1"/>
        <v>1.7850000000000001E-2</v>
      </c>
      <c r="N5" s="56">
        <f t="shared" si="1"/>
        <v>1.9337500000000001E-2</v>
      </c>
      <c r="O5" s="56">
        <f t="shared" si="1"/>
        <v>1.9762500000000002E-2</v>
      </c>
      <c r="P5" s="56">
        <f t="shared" si="1"/>
        <v>2.0400000000000001E-2</v>
      </c>
      <c r="Q5" s="56">
        <f t="shared" si="1"/>
        <v>1.9762500000000002E-2</v>
      </c>
      <c r="R5" s="56">
        <f t="shared" si="1"/>
        <v>2.1675000000000003E-2</v>
      </c>
      <c r="S5" s="7"/>
      <c r="T5" s="13"/>
      <c r="U5" s="13"/>
      <c r="V5" s="13"/>
      <c r="W5" s="13"/>
      <c r="X5" s="13">
        <v>37</v>
      </c>
      <c r="Y5" s="13"/>
      <c r="Z5" s="7"/>
      <c r="AA5" s="15"/>
      <c r="AB5" s="15"/>
      <c r="AC5" s="15"/>
      <c r="AD5" s="15"/>
      <c r="AE5" s="15"/>
      <c r="AF5" s="15">
        <v>37</v>
      </c>
    </row>
    <row r="6" spans="1:32">
      <c r="A6" s="1" t="s">
        <v>3</v>
      </c>
      <c r="B6" s="1" t="s">
        <v>15</v>
      </c>
      <c r="C6" s="42">
        <v>4</v>
      </c>
      <c r="D6" s="2" t="s">
        <v>35</v>
      </c>
      <c r="E6" s="7"/>
      <c r="F6" s="1" t="s">
        <v>109</v>
      </c>
      <c r="G6" s="64">
        <v>3.4</v>
      </c>
      <c r="H6" s="64"/>
      <c r="I6" s="42">
        <v>45</v>
      </c>
      <c r="J6" s="42"/>
      <c r="K6" s="8">
        <f t="shared" si="0"/>
        <v>3.7149999999999999</v>
      </c>
      <c r="L6" s="7"/>
      <c r="M6" s="56">
        <f t="shared" si="1"/>
        <v>1.6253125E-2</v>
      </c>
      <c r="N6" s="56">
        <f t="shared" si="1"/>
        <v>1.7607552083333332E-2</v>
      </c>
      <c r="O6" s="56">
        <f t="shared" si="1"/>
        <v>1.7994531250000001E-2</v>
      </c>
      <c r="P6" s="56">
        <f t="shared" si="1"/>
        <v>1.8575000000000001E-2</v>
      </c>
      <c r="Q6" s="56">
        <f t="shared" si="1"/>
        <v>1.7994531250000001E-2</v>
      </c>
      <c r="R6" s="56">
        <f t="shared" si="1"/>
        <v>1.9735937500000002E-2</v>
      </c>
      <c r="S6" s="7"/>
      <c r="T6" s="13"/>
      <c r="U6" s="13"/>
      <c r="V6" s="13"/>
      <c r="W6" s="13"/>
      <c r="X6" s="13">
        <v>37</v>
      </c>
      <c r="Y6" s="13"/>
      <c r="Z6" s="7"/>
      <c r="AA6" s="15"/>
      <c r="AB6" s="15"/>
      <c r="AC6" s="15"/>
      <c r="AD6" s="15"/>
      <c r="AE6" s="15"/>
      <c r="AF6" s="15">
        <v>37</v>
      </c>
    </row>
    <row r="7" spans="1:32">
      <c r="A7" s="1" t="s">
        <v>3</v>
      </c>
      <c r="B7" s="1" t="s">
        <v>15</v>
      </c>
      <c r="C7" s="42">
        <v>4</v>
      </c>
      <c r="D7" s="2" t="s">
        <v>35</v>
      </c>
      <c r="E7" s="7"/>
      <c r="F7" s="1" t="s">
        <v>110</v>
      </c>
      <c r="G7" s="64">
        <v>3.8</v>
      </c>
      <c r="H7" s="64"/>
      <c r="I7" s="42">
        <v>50</v>
      </c>
      <c r="J7" s="42"/>
      <c r="K7" s="8">
        <f t="shared" si="0"/>
        <v>4.1499999999999995</v>
      </c>
      <c r="L7" s="7"/>
      <c r="M7" s="56">
        <f t="shared" si="1"/>
        <v>1.8156249999999999E-2</v>
      </c>
      <c r="N7" s="56">
        <f t="shared" si="1"/>
        <v>1.9669270833333332E-2</v>
      </c>
      <c r="O7" s="56">
        <f t="shared" si="1"/>
        <v>2.01015625E-2</v>
      </c>
      <c r="P7" s="56">
        <f t="shared" si="1"/>
        <v>2.0749999999999998E-2</v>
      </c>
      <c r="Q7" s="56">
        <f t="shared" si="1"/>
        <v>2.01015625E-2</v>
      </c>
      <c r="R7" s="56">
        <f t="shared" si="1"/>
        <v>2.2046874999999997E-2</v>
      </c>
      <c r="S7" s="7"/>
      <c r="T7" s="13"/>
      <c r="U7" s="13"/>
      <c r="V7" s="13"/>
      <c r="W7" s="13"/>
      <c r="X7" s="13">
        <v>37</v>
      </c>
      <c r="Y7" s="13"/>
      <c r="Z7" s="7"/>
      <c r="AA7" s="15"/>
      <c r="AB7" s="15"/>
      <c r="AC7" s="15"/>
      <c r="AD7" s="15"/>
      <c r="AE7" s="15"/>
      <c r="AF7" s="15">
        <v>37</v>
      </c>
    </row>
    <row r="8" spans="1:32">
      <c r="A8" s="1" t="s">
        <v>4</v>
      </c>
      <c r="B8" s="1" t="s">
        <v>16</v>
      </c>
      <c r="C8" s="42">
        <v>4</v>
      </c>
      <c r="D8" s="2" t="s">
        <v>34</v>
      </c>
      <c r="E8" s="7"/>
      <c r="F8" s="1" t="s">
        <v>112</v>
      </c>
      <c r="G8" s="64">
        <v>5.4</v>
      </c>
      <c r="H8" s="64"/>
      <c r="I8" s="42">
        <v>85</v>
      </c>
      <c r="J8" s="42"/>
      <c r="K8" s="8">
        <f t="shared" si="0"/>
        <v>5.9950000000000001</v>
      </c>
      <c r="L8" s="7"/>
      <c r="M8" s="56">
        <f t="shared" si="1"/>
        <v>2.9142361111111112E-2</v>
      </c>
      <c r="N8" s="56">
        <f t="shared" si="1"/>
        <v>3.1570891203703703E-2</v>
      </c>
      <c r="O8" s="56">
        <f t="shared" si="1"/>
        <v>3.2264756944444452E-2</v>
      </c>
      <c r="P8" s="56">
        <f t="shared" si="1"/>
        <v>3.330555555555556E-2</v>
      </c>
      <c r="Q8" s="56">
        <f t="shared" si="1"/>
        <v>3.2264756944444452E-2</v>
      </c>
      <c r="R8" s="56">
        <f t="shared" si="1"/>
        <v>3.5387152777777778E-2</v>
      </c>
      <c r="S8" s="7"/>
      <c r="T8" s="13"/>
      <c r="U8" s="13"/>
      <c r="V8" s="13">
        <v>42</v>
      </c>
      <c r="W8" s="13"/>
      <c r="X8" s="13">
        <v>54</v>
      </c>
      <c r="Y8" s="13"/>
      <c r="Z8" s="7"/>
      <c r="AA8" s="15"/>
      <c r="AB8" s="15">
        <v>42</v>
      </c>
      <c r="AC8" s="15"/>
      <c r="AD8" s="15"/>
      <c r="AE8" s="15"/>
      <c r="AF8" s="15">
        <v>54</v>
      </c>
    </row>
    <row r="9" spans="1:32">
      <c r="A9" s="1" t="s">
        <v>4</v>
      </c>
      <c r="B9" s="1" t="s">
        <v>16</v>
      </c>
      <c r="C9" s="42">
        <v>4</v>
      </c>
      <c r="D9" s="2" t="s">
        <v>34</v>
      </c>
      <c r="E9" s="7"/>
      <c r="F9" s="1" t="s">
        <v>113</v>
      </c>
      <c r="G9" s="64">
        <v>5.5</v>
      </c>
      <c r="H9" s="64"/>
      <c r="I9" s="42">
        <v>145</v>
      </c>
      <c r="J9" s="42"/>
      <c r="K9" s="8">
        <f t="shared" si="0"/>
        <v>6.5149999999999997</v>
      </c>
      <c r="L9" s="7"/>
      <c r="M9" s="56">
        <f t="shared" si="1"/>
        <v>3.1670138888888887E-2</v>
      </c>
      <c r="N9" s="56">
        <f t="shared" si="1"/>
        <v>3.4309317129629625E-2</v>
      </c>
      <c r="O9" s="56">
        <f t="shared" si="1"/>
        <v>3.5063368055555558E-2</v>
      </c>
      <c r="P9" s="56">
        <f t="shared" si="1"/>
        <v>3.6194444444444446E-2</v>
      </c>
      <c r="Q9" s="56">
        <f t="shared" si="1"/>
        <v>3.5063368055555558E-2</v>
      </c>
      <c r="R9" s="56">
        <f t="shared" si="1"/>
        <v>3.8456597222222222E-2</v>
      </c>
      <c r="S9" s="7"/>
      <c r="T9" s="13"/>
      <c r="U9" s="13"/>
      <c r="V9" s="13">
        <v>42</v>
      </c>
      <c r="W9" s="13"/>
      <c r="X9" s="13">
        <v>54</v>
      </c>
      <c r="Y9" s="13"/>
      <c r="Z9" s="7"/>
      <c r="AA9" s="15"/>
      <c r="AB9" s="15">
        <v>42</v>
      </c>
      <c r="AC9" s="15"/>
      <c r="AD9" s="15"/>
      <c r="AE9" s="15"/>
      <c r="AF9" s="15">
        <v>54</v>
      </c>
    </row>
    <row r="10" spans="1:32">
      <c r="A10" s="1" t="s">
        <v>4</v>
      </c>
      <c r="B10" s="1" t="s">
        <v>16</v>
      </c>
      <c r="C10" s="42">
        <v>4</v>
      </c>
      <c r="D10" s="2" t="s">
        <v>34</v>
      </c>
      <c r="E10" s="7"/>
      <c r="F10" s="1" t="s">
        <v>114</v>
      </c>
      <c r="G10" s="64">
        <v>5.2</v>
      </c>
      <c r="H10" s="64"/>
      <c r="I10" s="42">
        <v>70</v>
      </c>
      <c r="J10" s="42"/>
      <c r="K10" s="8">
        <f t="shared" si="0"/>
        <v>5.69</v>
      </c>
      <c r="L10" s="7"/>
      <c r="M10" s="56">
        <f t="shared" si="1"/>
        <v>2.7659722222222224E-2</v>
      </c>
      <c r="N10" s="56">
        <f t="shared" si="1"/>
        <v>2.9964699074074074E-2</v>
      </c>
      <c r="O10" s="56">
        <f t="shared" si="1"/>
        <v>3.0623263888888894E-2</v>
      </c>
      <c r="P10" s="56">
        <f t="shared" si="1"/>
        <v>3.1611111111111118E-2</v>
      </c>
      <c r="Q10" s="56">
        <f t="shared" si="1"/>
        <v>3.0623263888888894E-2</v>
      </c>
      <c r="R10" s="56">
        <f t="shared" si="1"/>
        <v>3.3586805555555557E-2</v>
      </c>
      <c r="S10" s="7"/>
      <c r="T10" s="13"/>
      <c r="U10" s="13"/>
      <c r="V10" s="13">
        <v>42</v>
      </c>
      <c r="W10" s="13"/>
      <c r="X10" s="13">
        <v>54</v>
      </c>
      <c r="Y10" s="13"/>
      <c r="Z10" s="7"/>
      <c r="AA10" s="15"/>
      <c r="AB10" s="15">
        <v>42</v>
      </c>
      <c r="AC10" s="15"/>
      <c r="AD10" s="15"/>
      <c r="AE10" s="15"/>
      <c r="AF10" s="15">
        <v>54</v>
      </c>
    </row>
    <row r="11" spans="1:32">
      <c r="A11" s="1" t="s">
        <v>4</v>
      </c>
      <c r="B11" s="1" t="s">
        <v>16</v>
      </c>
      <c r="C11" s="42">
        <v>4</v>
      </c>
      <c r="D11" s="2" t="s">
        <v>34</v>
      </c>
      <c r="E11" s="7"/>
      <c r="F11" s="1" t="s">
        <v>115</v>
      </c>
      <c r="G11" s="64">
        <v>5.5</v>
      </c>
      <c r="H11" s="64"/>
      <c r="I11" s="42">
        <v>140</v>
      </c>
      <c r="J11" s="42"/>
      <c r="K11" s="8">
        <f t="shared" si="0"/>
        <v>6.48</v>
      </c>
      <c r="L11" s="7"/>
      <c r="M11" s="56">
        <f t="shared" si="1"/>
        <v>3.15E-2</v>
      </c>
      <c r="N11" s="56">
        <f t="shared" si="1"/>
        <v>3.4125000000000003E-2</v>
      </c>
      <c r="O11" s="56">
        <f t="shared" si="1"/>
        <v>3.487500000000001E-2</v>
      </c>
      <c r="P11" s="56">
        <f t="shared" si="1"/>
        <v>3.6000000000000004E-2</v>
      </c>
      <c r="Q11" s="56">
        <f t="shared" si="1"/>
        <v>3.487500000000001E-2</v>
      </c>
      <c r="R11" s="56">
        <f t="shared" si="1"/>
        <v>3.8249999999999999E-2</v>
      </c>
      <c r="S11" s="7"/>
      <c r="T11" s="13"/>
      <c r="U11" s="13"/>
      <c r="V11" s="13">
        <v>42</v>
      </c>
      <c r="W11" s="13"/>
      <c r="X11" s="13">
        <v>54</v>
      </c>
      <c r="Y11" s="13"/>
      <c r="Z11" s="7"/>
      <c r="AA11" s="15"/>
      <c r="AB11" s="15">
        <v>42</v>
      </c>
      <c r="AC11" s="15"/>
      <c r="AD11" s="15"/>
      <c r="AE11" s="15"/>
      <c r="AF11" s="15">
        <v>54</v>
      </c>
    </row>
    <row r="12" spans="1:32">
      <c r="A12" s="1" t="s">
        <v>5</v>
      </c>
      <c r="B12" s="1" t="s">
        <v>17</v>
      </c>
      <c r="C12" s="42">
        <v>4</v>
      </c>
      <c r="D12" s="2" t="s">
        <v>35</v>
      </c>
      <c r="E12" s="7"/>
      <c r="F12" s="1" t="s">
        <v>106</v>
      </c>
      <c r="G12" s="64">
        <v>7.3</v>
      </c>
      <c r="H12" s="64"/>
      <c r="I12" s="42">
        <v>140</v>
      </c>
      <c r="J12" s="42"/>
      <c r="K12" s="8">
        <f t="shared" si="0"/>
        <v>8.2799999999999994</v>
      </c>
      <c r="L12" s="7"/>
      <c r="M12" s="56">
        <f t="shared" si="1"/>
        <v>4.0249999999999994E-2</v>
      </c>
      <c r="N12" s="56">
        <f t="shared" si="1"/>
        <v>4.3604166666666659E-2</v>
      </c>
      <c r="O12" s="56">
        <f t="shared" si="1"/>
        <v>4.4562500000000005E-2</v>
      </c>
      <c r="P12" s="56">
        <f t="shared" si="1"/>
        <v>4.5999999999999999E-2</v>
      </c>
      <c r="Q12" s="56">
        <f t="shared" si="1"/>
        <v>4.4562500000000005E-2</v>
      </c>
      <c r="R12" s="56">
        <f t="shared" si="1"/>
        <v>4.8874999999999995E-2</v>
      </c>
      <c r="S12" s="7"/>
      <c r="T12" s="13">
        <v>53</v>
      </c>
      <c r="U12" s="13">
        <f>(60+48)/2</f>
        <v>54</v>
      </c>
      <c r="V12" s="13">
        <v>53</v>
      </c>
      <c r="W12" s="13"/>
      <c r="X12" s="13"/>
      <c r="Y12" s="13"/>
      <c r="Z12" s="7"/>
      <c r="AA12" s="15">
        <v>53</v>
      </c>
      <c r="AB12" s="15">
        <v>53</v>
      </c>
      <c r="AC12" s="15"/>
      <c r="AD12" s="15"/>
      <c r="AE12" s="15">
        <f>AVERAGE(48,60)</f>
        <v>54</v>
      </c>
      <c r="AF12" s="15"/>
    </row>
    <row r="13" spans="1:32">
      <c r="A13" s="1" t="s">
        <v>5</v>
      </c>
      <c r="B13" s="1" t="s">
        <v>17</v>
      </c>
      <c r="C13" s="42">
        <v>4</v>
      </c>
      <c r="D13" s="2" t="s">
        <v>35</v>
      </c>
      <c r="E13" s="7"/>
      <c r="F13" s="1" t="s">
        <v>116</v>
      </c>
      <c r="G13" s="64">
        <v>7.4</v>
      </c>
      <c r="H13" s="64"/>
      <c r="I13" s="42">
        <v>110</v>
      </c>
      <c r="J13" s="42"/>
      <c r="K13" s="8">
        <f t="shared" si="0"/>
        <v>8.17</v>
      </c>
      <c r="L13" s="7"/>
      <c r="M13" s="56">
        <f t="shared" si="1"/>
        <v>3.971527777777778E-2</v>
      </c>
      <c r="N13" s="56">
        <f t="shared" si="1"/>
        <v>4.3024884259259259E-2</v>
      </c>
      <c r="O13" s="56">
        <f t="shared" si="1"/>
        <v>4.3970486111111116E-2</v>
      </c>
      <c r="P13" s="56">
        <f t="shared" si="1"/>
        <v>4.5388888888888888E-2</v>
      </c>
      <c r="Q13" s="56">
        <f t="shared" si="1"/>
        <v>4.3970486111111116E-2</v>
      </c>
      <c r="R13" s="56">
        <f t="shared" si="1"/>
        <v>4.8225694444444446E-2</v>
      </c>
      <c r="S13" s="7"/>
      <c r="T13" s="13">
        <v>53</v>
      </c>
      <c r="U13" s="13">
        <f>(60+48)/2</f>
        <v>54</v>
      </c>
      <c r="V13" s="13">
        <v>53</v>
      </c>
      <c r="W13" s="13"/>
      <c r="X13" s="13"/>
      <c r="Y13" s="13"/>
      <c r="Z13" s="7"/>
      <c r="AA13" s="15">
        <v>53</v>
      </c>
      <c r="AB13" s="15">
        <v>53</v>
      </c>
      <c r="AC13" s="15"/>
      <c r="AD13" s="15"/>
      <c r="AE13" s="15">
        <f>AVERAGE(48,60)</f>
        <v>54</v>
      </c>
      <c r="AF13" s="15"/>
    </row>
    <row r="14" spans="1:32">
      <c r="A14" s="1" t="s">
        <v>5</v>
      </c>
      <c r="B14" s="1" t="s">
        <v>17</v>
      </c>
      <c r="C14" s="42">
        <v>4</v>
      </c>
      <c r="D14" s="2" t="s">
        <v>35</v>
      </c>
      <c r="E14" s="7"/>
      <c r="F14" s="1" t="s">
        <v>117</v>
      </c>
      <c r="G14" s="64">
        <v>7.4</v>
      </c>
      <c r="H14" s="64"/>
      <c r="I14" s="42">
        <v>135</v>
      </c>
      <c r="J14" s="42"/>
      <c r="K14" s="8">
        <f t="shared" si="0"/>
        <v>8.3450000000000006</v>
      </c>
      <c r="L14" s="7"/>
      <c r="M14" s="56">
        <f t="shared" ref="M14:R23" si="2">VLOOKUP(M$2,Basis,2,FALSE)*VLOOKUP($B14,Schwierigkeit,2,FALSE)*$K14</f>
        <v>4.0565972222222225E-2</v>
      </c>
      <c r="N14" s="56">
        <f t="shared" si="2"/>
        <v>4.3946469907407408E-2</v>
      </c>
      <c r="O14" s="56">
        <f t="shared" si="2"/>
        <v>4.4912326388888903E-2</v>
      </c>
      <c r="P14" s="56">
        <f t="shared" si="2"/>
        <v>4.6361111111111117E-2</v>
      </c>
      <c r="Q14" s="56">
        <f t="shared" si="2"/>
        <v>4.4912326388888903E-2</v>
      </c>
      <c r="R14" s="56">
        <f t="shared" si="2"/>
        <v>4.9258680555555559E-2</v>
      </c>
      <c r="S14" s="7"/>
      <c r="T14" s="13">
        <v>53</v>
      </c>
      <c r="U14" s="13">
        <f>(60+48)/2</f>
        <v>54</v>
      </c>
      <c r="V14" s="13">
        <v>53</v>
      </c>
      <c r="W14" s="13"/>
      <c r="X14" s="13"/>
      <c r="Y14" s="13"/>
      <c r="Z14" s="7"/>
      <c r="AA14" s="15">
        <v>53</v>
      </c>
      <c r="AB14" s="15">
        <v>53</v>
      </c>
      <c r="AC14" s="15"/>
      <c r="AD14" s="15"/>
      <c r="AE14" s="15">
        <f>AVERAGE(48,60)</f>
        <v>54</v>
      </c>
      <c r="AF14" s="15"/>
    </row>
    <row r="15" spans="1:32">
      <c r="A15" s="1" t="s">
        <v>5</v>
      </c>
      <c r="B15" s="1" t="s">
        <v>17</v>
      </c>
      <c r="C15" s="42">
        <v>4</v>
      </c>
      <c r="D15" s="2" t="s">
        <v>35</v>
      </c>
      <c r="E15" s="7"/>
      <c r="F15" s="1" t="s">
        <v>118</v>
      </c>
      <c r="G15" s="64">
        <v>7.9</v>
      </c>
      <c r="H15" s="64"/>
      <c r="I15" s="42">
        <v>170</v>
      </c>
      <c r="J15" s="42"/>
      <c r="K15" s="8">
        <f t="shared" si="0"/>
        <v>9.09</v>
      </c>
      <c r="L15" s="7"/>
      <c r="M15" s="56">
        <f t="shared" si="2"/>
        <v>4.4187499999999998E-2</v>
      </c>
      <c r="N15" s="56">
        <f t="shared" si="2"/>
        <v>4.7869791666666661E-2</v>
      </c>
      <c r="O15" s="56">
        <f t="shared" si="2"/>
        <v>4.8921875000000004E-2</v>
      </c>
      <c r="P15" s="56">
        <f t="shared" si="2"/>
        <v>5.0500000000000003E-2</v>
      </c>
      <c r="Q15" s="56">
        <f t="shared" si="2"/>
        <v>4.8921875000000004E-2</v>
      </c>
      <c r="R15" s="56">
        <f t="shared" si="2"/>
        <v>5.3656249999999996E-2</v>
      </c>
      <c r="S15" s="7"/>
      <c r="T15" s="13">
        <v>53</v>
      </c>
      <c r="U15" s="13">
        <f>(60+48)/2</f>
        <v>54</v>
      </c>
      <c r="V15" s="13">
        <v>53</v>
      </c>
      <c r="W15" s="13"/>
      <c r="X15" s="13"/>
      <c r="Y15" s="13"/>
      <c r="Z15" s="7"/>
      <c r="AA15" s="15">
        <v>53</v>
      </c>
      <c r="AB15" s="15">
        <v>53</v>
      </c>
      <c r="AC15" s="15"/>
      <c r="AD15" s="15"/>
      <c r="AE15" s="15">
        <f>AVERAGE(48,60)</f>
        <v>54</v>
      </c>
      <c r="AF15" s="15"/>
    </row>
    <row r="16" spans="1:32">
      <c r="A16" s="1" t="s">
        <v>6</v>
      </c>
      <c r="B16" s="1" t="s">
        <v>18</v>
      </c>
      <c r="C16" s="42">
        <v>3</v>
      </c>
      <c r="D16" s="2" t="s">
        <v>34</v>
      </c>
      <c r="E16" s="7"/>
      <c r="F16" s="1" t="s">
        <v>119</v>
      </c>
      <c r="G16" s="64">
        <v>9.6999999999999993</v>
      </c>
      <c r="H16" s="64"/>
      <c r="I16" s="42">
        <v>250</v>
      </c>
      <c r="J16" s="42"/>
      <c r="K16" s="8">
        <f t="shared" si="0"/>
        <v>11.45</v>
      </c>
      <c r="L16" s="7"/>
      <c r="M16" s="56">
        <f t="shared" si="2"/>
        <v>5.8442708333333329E-2</v>
      </c>
      <c r="N16" s="56">
        <f t="shared" si="2"/>
        <v>6.3312934027777767E-2</v>
      </c>
      <c r="O16" s="56">
        <f t="shared" si="2"/>
        <v>6.4704427083333349E-2</v>
      </c>
      <c r="P16" s="56">
        <f t="shared" si="2"/>
        <v>6.6791666666666666E-2</v>
      </c>
      <c r="Q16" s="56">
        <f t="shared" si="2"/>
        <v>6.4704427083333349E-2</v>
      </c>
      <c r="R16" s="56">
        <f t="shared" si="2"/>
        <v>7.0966145833333327E-2</v>
      </c>
      <c r="S16" s="7"/>
      <c r="T16" s="13">
        <v>58</v>
      </c>
      <c r="U16" s="13"/>
      <c r="V16" s="13"/>
      <c r="W16" s="13"/>
      <c r="X16" s="13"/>
      <c r="Y16" s="13"/>
      <c r="Z16" s="7"/>
      <c r="AA16" s="15">
        <v>58</v>
      </c>
      <c r="AB16" s="15">
        <v>75</v>
      </c>
      <c r="AC16" s="15"/>
      <c r="AD16" s="15"/>
      <c r="AE16" s="15"/>
      <c r="AF16" s="15"/>
    </row>
    <row r="17" spans="1:32">
      <c r="A17" s="1" t="s">
        <v>6</v>
      </c>
      <c r="B17" s="1" t="s">
        <v>18</v>
      </c>
      <c r="C17" s="42">
        <v>3</v>
      </c>
      <c r="D17" s="2" t="s">
        <v>34</v>
      </c>
      <c r="E17" s="7"/>
      <c r="F17" s="1" t="s">
        <v>120</v>
      </c>
      <c r="G17" s="64">
        <v>9.8000000000000007</v>
      </c>
      <c r="H17" s="64"/>
      <c r="I17" s="42">
        <v>145</v>
      </c>
      <c r="J17" s="42"/>
      <c r="K17" s="8">
        <f t="shared" si="0"/>
        <v>10.815000000000001</v>
      </c>
      <c r="L17" s="7"/>
      <c r="M17" s="56">
        <f t="shared" si="2"/>
        <v>5.5201562500000002E-2</v>
      </c>
      <c r="N17" s="56">
        <f t="shared" si="2"/>
        <v>5.9801692708333333E-2</v>
      </c>
      <c r="O17" s="56">
        <f t="shared" si="2"/>
        <v>6.111601562500002E-2</v>
      </c>
      <c r="P17" s="56">
        <f t="shared" si="2"/>
        <v>6.3087500000000005E-2</v>
      </c>
      <c r="Q17" s="56">
        <f t="shared" si="2"/>
        <v>6.111601562500002E-2</v>
      </c>
      <c r="R17" s="56">
        <f t="shared" si="2"/>
        <v>6.7030468750000002E-2</v>
      </c>
      <c r="S17" s="7"/>
      <c r="T17" s="13">
        <v>58</v>
      </c>
      <c r="U17" s="13"/>
      <c r="V17" s="13"/>
      <c r="W17" s="13"/>
      <c r="X17" s="13"/>
      <c r="Y17" s="13"/>
      <c r="Z17" s="7"/>
      <c r="AA17" s="15">
        <v>58</v>
      </c>
      <c r="AB17" s="15">
        <v>75</v>
      </c>
      <c r="AC17" s="15"/>
      <c r="AD17" s="15"/>
      <c r="AE17" s="15"/>
      <c r="AF17" s="15"/>
    </row>
    <row r="18" spans="1:32">
      <c r="A18" s="1" t="s">
        <v>6</v>
      </c>
      <c r="B18" s="1" t="s">
        <v>18</v>
      </c>
      <c r="C18" s="42">
        <v>3</v>
      </c>
      <c r="D18" s="2" t="s">
        <v>34</v>
      </c>
      <c r="E18" s="7"/>
      <c r="F18" s="1" t="s">
        <v>121</v>
      </c>
      <c r="G18" s="64">
        <v>9.8000000000000007</v>
      </c>
      <c r="H18" s="64"/>
      <c r="I18" s="42">
        <v>185</v>
      </c>
      <c r="J18" s="42"/>
      <c r="K18" s="8">
        <f t="shared" si="0"/>
        <v>11.095000000000001</v>
      </c>
      <c r="L18" s="7"/>
      <c r="M18" s="56">
        <f t="shared" si="2"/>
        <v>5.6630729166666671E-2</v>
      </c>
      <c r="N18" s="56">
        <f t="shared" si="2"/>
        <v>6.134995659722222E-2</v>
      </c>
      <c r="O18" s="56">
        <f t="shared" si="2"/>
        <v>6.2698307291666686E-2</v>
      </c>
      <c r="P18" s="56">
        <f t="shared" si="2"/>
        <v>6.4720833333333339E-2</v>
      </c>
      <c r="Q18" s="56">
        <f t="shared" si="2"/>
        <v>6.2698307291666686E-2</v>
      </c>
      <c r="R18" s="56">
        <f t="shared" si="2"/>
        <v>6.8765885416666672E-2</v>
      </c>
      <c r="S18" s="7"/>
      <c r="T18" s="13">
        <v>58</v>
      </c>
      <c r="U18" s="13"/>
      <c r="V18" s="13"/>
      <c r="W18" s="13"/>
      <c r="X18" s="13"/>
      <c r="Y18" s="13"/>
      <c r="Z18" s="7"/>
      <c r="AA18" s="15">
        <v>58</v>
      </c>
      <c r="AB18" s="15">
        <v>75</v>
      </c>
      <c r="AC18" s="15"/>
      <c r="AD18" s="15"/>
      <c r="AE18" s="15"/>
      <c r="AF18" s="15"/>
    </row>
    <row r="19" spans="1:32">
      <c r="A19" s="1" t="s">
        <v>7</v>
      </c>
      <c r="B19" s="1" t="s">
        <v>19</v>
      </c>
      <c r="C19" s="42">
        <v>1</v>
      </c>
      <c r="D19" s="2" t="s">
        <v>35</v>
      </c>
      <c r="E19" s="7"/>
      <c r="F19" s="1" t="s">
        <v>145</v>
      </c>
      <c r="G19" s="64">
        <v>4.5999999999999996</v>
      </c>
      <c r="H19" s="64"/>
      <c r="I19" s="42">
        <v>40</v>
      </c>
      <c r="J19" s="42"/>
      <c r="K19" s="8">
        <f t="shared" si="0"/>
        <v>4.88</v>
      </c>
      <c r="L19" s="7"/>
      <c r="M19" s="56">
        <f t="shared" si="2"/>
        <v>2.1350000000000001E-2</v>
      </c>
      <c r="N19" s="56">
        <f t="shared" si="2"/>
        <v>2.3129166666666666E-2</v>
      </c>
      <c r="O19" s="56">
        <f t="shared" si="2"/>
        <v>2.3637500000000002E-2</v>
      </c>
      <c r="P19" s="56">
        <f t="shared" si="2"/>
        <v>2.4400000000000002E-2</v>
      </c>
      <c r="Q19" s="56">
        <f t="shared" si="2"/>
        <v>2.3637500000000002E-2</v>
      </c>
      <c r="R19" s="56">
        <f t="shared" si="2"/>
        <v>2.5925E-2</v>
      </c>
      <c r="S19" s="7"/>
      <c r="T19" s="13"/>
      <c r="U19" s="13"/>
      <c r="V19" s="13">
        <v>75</v>
      </c>
      <c r="W19" s="13"/>
      <c r="X19" s="13"/>
      <c r="Y19" s="13"/>
      <c r="Z19" s="7"/>
      <c r="AA19" s="15"/>
      <c r="AB19" s="15"/>
      <c r="AC19" s="15"/>
      <c r="AD19" s="15"/>
      <c r="AE19" s="15"/>
      <c r="AF19" s="15"/>
    </row>
    <row r="20" spans="1:32">
      <c r="A20" s="1" t="s">
        <v>8</v>
      </c>
      <c r="B20" s="1" t="s">
        <v>20</v>
      </c>
      <c r="C20" s="42">
        <v>1</v>
      </c>
      <c r="D20" s="2" t="s">
        <v>35</v>
      </c>
      <c r="E20" s="7"/>
      <c r="F20" s="1" t="s">
        <v>146</v>
      </c>
      <c r="G20" s="64">
        <v>6.7</v>
      </c>
      <c r="H20" s="64"/>
      <c r="I20" s="42">
        <v>165</v>
      </c>
      <c r="J20" s="42"/>
      <c r="K20" s="8">
        <f t="shared" si="0"/>
        <v>7.8550000000000004</v>
      </c>
      <c r="L20" s="7"/>
      <c r="M20" s="56">
        <f t="shared" si="2"/>
        <v>3.8184027777777782E-2</v>
      </c>
      <c r="N20" s="56">
        <f t="shared" si="2"/>
        <v>4.1366030092592591E-2</v>
      </c>
      <c r="O20" s="56">
        <f t="shared" si="2"/>
        <v>4.2275173611111119E-2</v>
      </c>
      <c r="P20" s="56">
        <f t="shared" si="2"/>
        <v>4.3638888888888894E-2</v>
      </c>
      <c r="Q20" s="56">
        <f t="shared" si="2"/>
        <v>4.2275173611111119E-2</v>
      </c>
      <c r="R20" s="56">
        <f t="shared" si="2"/>
        <v>4.6366319444444443E-2</v>
      </c>
      <c r="S20" s="7"/>
      <c r="T20" s="13"/>
      <c r="U20" s="13">
        <v>36</v>
      </c>
      <c r="V20" s="13"/>
      <c r="W20" s="13"/>
      <c r="X20" s="13"/>
      <c r="Y20" s="13"/>
      <c r="Z20" s="7"/>
      <c r="AA20" s="15"/>
      <c r="AB20" s="15"/>
      <c r="AC20" s="15"/>
      <c r="AD20" s="15"/>
      <c r="AE20" s="15">
        <v>36</v>
      </c>
      <c r="AF20" s="15"/>
    </row>
    <row r="21" spans="1:32">
      <c r="A21" s="1" t="s">
        <v>9</v>
      </c>
      <c r="B21" s="1" t="s">
        <v>21</v>
      </c>
      <c r="C21" s="42">
        <v>5</v>
      </c>
      <c r="D21" s="2" t="s">
        <v>35</v>
      </c>
      <c r="E21" s="7"/>
      <c r="F21" s="1" t="s">
        <v>122</v>
      </c>
      <c r="G21" s="64">
        <v>3.4</v>
      </c>
      <c r="H21" s="64"/>
      <c r="I21" s="42">
        <v>60</v>
      </c>
      <c r="J21" s="42"/>
      <c r="K21" s="8">
        <f t="shared" si="0"/>
        <v>3.82</v>
      </c>
      <c r="L21" s="7"/>
      <c r="M21" s="56">
        <f t="shared" si="2"/>
        <v>1.6712500000000002E-2</v>
      </c>
      <c r="N21" s="56">
        <f t="shared" si="2"/>
        <v>1.8105208333333334E-2</v>
      </c>
      <c r="O21" s="56">
        <f t="shared" si="2"/>
        <v>1.8503125000000002E-2</v>
      </c>
      <c r="P21" s="56">
        <f t="shared" si="2"/>
        <v>1.9099999999999999E-2</v>
      </c>
      <c r="Q21" s="56">
        <f t="shared" si="2"/>
        <v>1.8503125000000002E-2</v>
      </c>
      <c r="R21" s="56">
        <f t="shared" si="2"/>
        <v>2.0293749999999999E-2</v>
      </c>
      <c r="S21" s="7"/>
      <c r="T21" s="13"/>
      <c r="U21" s="13"/>
      <c r="V21" s="13"/>
      <c r="W21" s="13"/>
      <c r="X21" s="13">
        <f>(28+34)/2</f>
        <v>31</v>
      </c>
      <c r="Y21" s="13"/>
      <c r="Z21" s="7"/>
      <c r="AA21" s="15"/>
      <c r="AB21" s="15"/>
      <c r="AC21" s="15"/>
      <c r="AD21" s="15"/>
      <c r="AE21" s="15"/>
      <c r="AF21" s="15">
        <f>AVERAGE(28,34)</f>
        <v>31</v>
      </c>
    </row>
    <row r="22" spans="1:32">
      <c r="A22" s="1" t="s">
        <v>9</v>
      </c>
      <c r="B22" s="1" t="s">
        <v>21</v>
      </c>
      <c r="C22" s="42">
        <v>5</v>
      </c>
      <c r="D22" s="2" t="s">
        <v>35</v>
      </c>
      <c r="E22" s="7"/>
      <c r="F22" s="1" t="s">
        <v>123</v>
      </c>
      <c r="G22" s="64">
        <v>3.3</v>
      </c>
      <c r="H22" s="64"/>
      <c r="I22" s="42">
        <v>30</v>
      </c>
      <c r="J22" s="42"/>
      <c r="K22" s="8">
        <f t="shared" si="0"/>
        <v>3.51</v>
      </c>
      <c r="L22" s="7"/>
      <c r="M22" s="56">
        <f t="shared" si="2"/>
        <v>1.535625E-2</v>
      </c>
      <c r="N22" s="56">
        <f t="shared" si="2"/>
        <v>1.66359375E-2</v>
      </c>
      <c r="O22" s="56">
        <f t="shared" si="2"/>
        <v>1.7001562500000001E-2</v>
      </c>
      <c r="P22" s="56">
        <f t="shared" si="2"/>
        <v>1.755E-2</v>
      </c>
      <c r="Q22" s="56">
        <f t="shared" si="2"/>
        <v>1.7001562500000001E-2</v>
      </c>
      <c r="R22" s="56">
        <f t="shared" si="2"/>
        <v>1.8646875E-2</v>
      </c>
      <c r="S22" s="7"/>
      <c r="T22" s="13"/>
      <c r="U22" s="13"/>
      <c r="V22" s="13"/>
      <c r="W22" s="13"/>
      <c r="X22" s="13">
        <f>(28+34)/2</f>
        <v>31</v>
      </c>
      <c r="Y22" s="13"/>
      <c r="Z22" s="7"/>
      <c r="AA22" s="15"/>
      <c r="AB22" s="15"/>
      <c r="AC22" s="15"/>
      <c r="AD22" s="15"/>
      <c r="AE22" s="15"/>
      <c r="AF22" s="15">
        <f>AVERAGE(28,34)</f>
        <v>31</v>
      </c>
    </row>
    <row r="23" spans="1:32">
      <c r="A23" s="1" t="s">
        <v>9</v>
      </c>
      <c r="B23" s="1" t="s">
        <v>21</v>
      </c>
      <c r="C23" s="42">
        <v>5</v>
      </c>
      <c r="D23" s="2" t="s">
        <v>35</v>
      </c>
      <c r="E23" s="7"/>
      <c r="F23" s="1" t="s">
        <v>124</v>
      </c>
      <c r="G23" s="64">
        <v>3.2</v>
      </c>
      <c r="H23" s="64"/>
      <c r="I23" s="42">
        <v>40</v>
      </c>
      <c r="J23" s="42"/>
      <c r="K23" s="8">
        <f t="shared" si="0"/>
        <v>3.4800000000000004</v>
      </c>
      <c r="L23" s="7"/>
      <c r="M23" s="56">
        <f t="shared" si="2"/>
        <v>1.5225000000000004E-2</v>
      </c>
      <c r="N23" s="56">
        <f t="shared" si="2"/>
        <v>1.6493750000000001E-2</v>
      </c>
      <c r="O23" s="56">
        <f t="shared" si="2"/>
        <v>1.6856250000000007E-2</v>
      </c>
      <c r="P23" s="56">
        <f t="shared" si="2"/>
        <v>1.7400000000000002E-2</v>
      </c>
      <c r="Q23" s="56">
        <f t="shared" si="2"/>
        <v>1.6856250000000007E-2</v>
      </c>
      <c r="R23" s="56">
        <f t="shared" si="2"/>
        <v>1.8487500000000004E-2</v>
      </c>
      <c r="S23" s="7"/>
      <c r="T23" s="13"/>
      <c r="U23" s="13"/>
      <c r="V23" s="13"/>
      <c r="W23" s="13"/>
      <c r="X23" s="13">
        <f>(28+34)/2</f>
        <v>31</v>
      </c>
      <c r="Y23" s="13"/>
      <c r="Z23" s="7"/>
      <c r="AA23" s="15"/>
      <c r="AB23" s="15"/>
      <c r="AC23" s="15"/>
      <c r="AD23" s="15"/>
      <c r="AE23" s="15"/>
      <c r="AF23" s="15">
        <f>AVERAGE(28,34)</f>
        <v>31</v>
      </c>
    </row>
    <row r="24" spans="1:32">
      <c r="A24" s="1" t="s">
        <v>9</v>
      </c>
      <c r="B24" s="1" t="s">
        <v>21</v>
      </c>
      <c r="C24" s="42">
        <v>5</v>
      </c>
      <c r="D24" s="2" t="s">
        <v>35</v>
      </c>
      <c r="E24" s="7"/>
      <c r="F24" s="1" t="s">
        <v>125</v>
      </c>
      <c r="G24" s="64">
        <v>3.2</v>
      </c>
      <c r="H24" s="64"/>
      <c r="I24" s="42">
        <v>65</v>
      </c>
      <c r="J24" s="42"/>
      <c r="K24" s="8">
        <f t="shared" si="0"/>
        <v>3.6550000000000002</v>
      </c>
      <c r="L24" s="7"/>
      <c r="M24" s="56">
        <f t="shared" ref="M24:R33" si="3">VLOOKUP(M$2,Basis,2,FALSE)*VLOOKUP($B24,Schwierigkeit,2,FALSE)*$K24</f>
        <v>1.5990625000000001E-2</v>
      </c>
      <c r="N24" s="56">
        <f t="shared" si="3"/>
        <v>1.7323177083333335E-2</v>
      </c>
      <c r="O24" s="56">
        <f t="shared" si="3"/>
        <v>1.7703906250000005E-2</v>
      </c>
      <c r="P24" s="56">
        <f t="shared" si="3"/>
        <v>1.8275000000000003E-2</v>
      </c>
      <c r="Q24" s="56">
        <f t="shared" si="3"/>
        <v>1.7703906250000005E-2</v>
      </c>
      <c r="R24" s="56">
        <f t="shared" si="3"/>
        <v>1.9417187500000002E-2</v>
      </c>
      <c r="S24" s="7"/>
      <c r="T24" s="13"/>
      <c r="U24" s="13"/>
      <c r="V24" s="13"/>
      <c r="W24" s="13"/>
      <c r="X24" s="13">
        <f>(28+34)/2</f>
        <v>31</v>
      </c>
      <c r="Y24" s="13"/>
      <c r="Z24" s="7"/>
      <c r="AA24" s="15"/>
      <c r="AB24" s="15"/>
      <c r="AC24" s="15"/>
      <c r="AD24" s="15"/>
      <c r="AE24" s="15"/>
      <c r="AF24" s="15">
        <f>AVERAGE(28,34)</f>
        <v>31</v>
      </c>
    </row>
    <row r="25" spans="1:32">
      <c r="A25" s="1" t="s">
        <v>9</v>
      </c>
      <c r="B25" s="1" t="s">
        <v>21</v>
      </c>
      <c r="C25" s="42">
        <v>5</v>
      </c>
      <c r="D25" s="2" t="s">
        <v>35</v>
      </c>
      <c r="E25" s="7"/>
      <c r="F25" s="1" t="s">
        <v>126</v>
      </c>
      <c r="G25" s="64">
        <v>3.1</v>
      </c>
      <c r="H25" s="64"/>
      <c r="I25" s="42">
        <v>45</v>
      </c>
      <c r="J25" s="42"/>
      <c r="K25" s="8">
        <f t="shared" si="0"/>
        <v>3.415</v>
      </c>
      <c r="L25" s="7"/>
      <c r="M25" s="56">
        <f t="shared" si="3"/>
        <v>1.4940625000000001E-2</v>
      </c>
      <c r="N25" s="56">
        <f t="shared" si="3"/>
        <v>1.6185677083333336E-2</v>
      </c>
      <c r="O25" s="56">
        <f t="shared" si="3"/>
        <v>1.6541406250000001E-2</v>
      </c>
      <c r="P25" s="56">
        <f t="shared" si="3"/>
        <v>1.7075E-2</v>
      </c>
      <c r="Q25" s="56">
        <f t="shared" si="3"/>
        <v>1.6541406250000001E-2</v>
      </c>
      <c r="R25" s="56">
        <f t="shared" si="3"/>
        <v>1.81421875E-2</v>
      </c>
      <c r="S25" s="7"/>
      <c r="T25" s="13"/>
      <c r="U25" s="13"/>
      <c r="V25" s="13"/>
      <c r="W25" s="13"/>
      <c r="X25" s="13">
        <f>(28+34)/2</f>
        <v>31</v>
      </c>
      <c r="Y25" s="13"/>
      <c r="Z25" s="7"/>
      <c r="AA25" s="15"/>
      <c r="AB25" s="15"/>
      <c r="AC25" s="15"/>
      <c r="AD25" s="15"/>
      <c r="AE25" s="15"/>
      <c r="AF25" s="15">
        <f>AVERAGE(28,34)</f>
        <v>31</v>
      </c>
    </row>
    <row r="26" spans="1:32">
      <c r="A26" s="1" t="s">
        <v>10</v>
      </c>
      <c r="B26" s="1" t="s">
        <v>22</v>
      </c>
      <c r="C26" s="42">
        <v>3</v>
      </c>
      <c r="D26" s="2" t="s">
        <v>34</v>
      </c>
      <c r="E26" s="7"/>
      <c r="F26" s="1" t="s">
        <v>127</v>
      </c>
      <c r="G26" s="64">
        <v>4.3</v>
      </c>
      <c r="H26" s="64"/>
      <c r="I26" s="42">
        <v>35</v>
      </c>
      <c r="J26" s="42"/>
      <c r="K26" s="8">
        <f t="shared" si="0"/>
        <v>4.5449999999999999</v>
      </c>
      <c r="L26" s="7"/>
      <c r="M26" s="56">
        <f t="shared" si="3"/>
        <v>2.2093749999999999E-2</v>
      </c>
      <c r="N26" s="56">
        <f t="shared" si="3"/>
        <v>2.3934895833333331E-2</v>
      </c>
      <c r="O26" s="56">
        <f t="shared" si="3"/>
        <v>2.4460937500000002E-2</v>
      </c>
      <c r="P26" s="56">
        <f t="shared" si="3"/>
        <v>2.5250000000000002E-2</v>
      </c>
      <c r="Q26" s="56">
        <f t="shared" si="3"/>
        <v>2.4460937500000002E-2</v>
      </c>
      <c r="R26" s="56">
        <f t="shared" si="3"/>
        <v>2.6828124999999998E-2</v>
      </c>
      <c r="S26" s="7"/>
      <c r="T26" s="13">
        <f>(59+48)/2</f>
        <v>53.5</v>
      </c>
      <c r="U26" s="13"/>
      <c r="V26" s="13"/>
      <c r="W26" s="13"/>
      <c r="X26" s="13">
        <v>46</v>
      </c>
      <c r="Y26" s="13"/>
      <c r="Z26" s="7"/>
      <c r="AA26" s="15">
        <v>58</v>
      </c>
      <c r="AB26" s="15"/>
      <c r="AC26" s="15"/>
      <c r="AD26" s="15"/>
      <c r="AE26" s="15"/>
      <c r="AF26" s="15">
        <v>46</v>
      </c>
    </row>
    <row r="27" spans="1:32">
      <c r="A27" s="1" t="s">
        <v>10</v>
      </c>
      <c r="B27" s="1" t="s">
        <v>22</v>
      </c>
      <c r="C27" s="42">
        <v>3</v>
      </c>
      <c r="D27" s="2" t="s">
        <v>34</v>
      </c>
      <c r="E27" s="7"/>
      <c r="F27" s="1" t="s">
        <v>128</v>
      </c>
      <c r="G27" s="64">
        <v>4.9000000000000004</v>
      </c>
      <c r="H27" s="64"/>
      <c r="I27" s="42">
        <v>85</v>
      </c>
      <c r="J27" s="42"/>
      <c r="K27" s="8">
        <f t="shared" si="0"/>
        <v>5.4950000000000001</v>
      </c>
      <c r="L27" s="7"/>
      <c r="M27" s="56">
        <f t="shared" si="3"/>
        <v>2.6711805555555558E-2</v>
      </c>
      <c r="N27" s="56">
        <f t="shared" si="3"/>
        <v>2.8937789351851852E-2</v>
      </c>
      <c r="O27" s="56">
        <f t="shared" si="3"/>
        <v>2.9573784722222229E-2</v>
      </c>
      <c r="P27" s="56">
        <f t="shared" si="3"/>
        <v>3.0527777777777779E-2</v>
      </c>
      <c r="Q27" s="56">
        <f t="shared" si="3"/>
        <v>2.9573784722222229E-2</v>
      </c>
      <c r="R27" s="56">
        <f t="shared" si="3"/>
        <v>3.2435763888888886E-2</v>
      </c>
      <c r="S27" s="7"/>
      <c r="T27" s="13">
        <f>(59+48)/2</f>
        <v>53.5</v>
      </c>
      <c r="U27" s="13"/>
      <c r="V27" s="13"/>
      <c r="W27" s="13"/>
      <c r="X27" s="13">
        <v>46</v>
      </c>
      <c r="Y27" s="13"/>
      <c r="Z27" s="7"/>
      <c r="AA27" s="15">
        <v>58</v>
      </c>
      <c r="AB27" s="15"/>
      <c r="AC27" s="15"/>
      <c r="AD27" s="15"/>
      <c r="AE27" s="15"/>
      <c r="AF27" s="15">
        <v>46</v>
      </c>
    </row>
    <row r="28" spans="1:32">
      <c r="A28" s="1" t="s">
        <v>10</v>
      </c>
      <c r="B28" s="1" t="s">
        <v>22</v>
      </c>
      <c r="C28" s="42">
        <v>3</v>
      </c>
      <c r="D28" s="2" t="s">
        <v>34</v>
      </c>
      <c r="E28" s="7"/>
      <c r="F28" s="1" t="s">
        <v>129</v>
      </c>
      <c r="G28" s="64">
        <v>4.5</v>
      </c>
      <c r="H28" s="64"/>
      <c r="I28" s="42">
        <v>175</v>
      </c>
      <c r="J28" s="42"/>
      <c r="K28" s="8">
        <f t="shared" si="0"/>
        <v>5.7249999999999996</v>
      </c>
      <c r="L28" s="7"/>
      <c r="M28" s="56">
        <f t="shared" si="3"/>
        <v>2.7829861111111111E-2</v>
      </c>
      <c r="N28" s="56">
        <f t="shared" si="3"/>
        <v>3.01490162037037E-2</v>
      </c>
      <c r="O28" s="56">
        <f t="shared" si="3"/>
        <v>3.0811631944444449E-2</v>
      </c>
      <c r="P28" s="56">
        <f t="shared" si="3"/>
        <v>3.1805555555555552E-2</v>
      </c>
      <c r="Q28" s="56">
        <f t="shared" si="3"/>
        <v>3.0811631944444449E-2</v>
      </c>
      <c r="R28" s="56">
        <f t="shared" si="3"/>
        <v>3.3793402777777773E-2</v>
      </c>
      <c r="S28" s="7"/>
      <c r="T28" s="13">
        <f>(59+48)/2</f>
        <v>53.5</v>
      </c>
      <c r="U28" s="13"/>
      <c r="V28" s="13"/>
      <c r="W28" s="13"/>
      <c r="X28" s="13">
        <v>46</v>
      </c>
      <c r="Y28" s="13"/>
      <c r="Z28" s="7"/>
      <c r="AA28" s="15">
        <v>58</v>
      </c>
      <c r="AB28" s="15"/>
      <c r="AC28" s="15"/>
      <c r="AD28" s="15"/>
      <c r="AE28" s="15"/>
      <c r="AF28" s="15">
        <v>46</v>
      </c>
    </row>
    <row r="29" spans="1:32">
      <c r="A29" s="1" t="s">
        <v>11</v>
      </c>
      <c r="B29" s="1" t="s">
        <v>23</v>
      </c>
      <c r="C29" s="42">
        <v>3</v>
      </c>
      <c r="D29" s="2" t="s">
        <v>35</v>
      </c>
      <c r="E29" s="7"/>
      <c r="F29" s="1" t="s">
        <v>130</v>
      </c>
      <c r="G29" s="64">
        <v>6.8</v>
      </c>
      <c r="H29" s="64"/>
      <c r="I29" s="42">
        <v>130</v>
      </c>
      <c r="J29" s="42"/>
      <c r="K29" s="8">
        <f t="shared" si="0"/>
        <v>7.71</v>
      </c>
      <c r="L29" s="7"/>
      <c r="M29" s="56">
        <f t="shared" si="3"/>
        <v>3.7479166666666668E-2</v>
      </c>
      <c r="N29" s="56">
        <f t="shared" si="3"/>
        <v>4.0602430555555555E-2</v>
      </c>
      <c r="O29" s="56">
        <f t="shared" si="3"/>
        <v>4.1494791666666669E-2</v>
      </c>
      <c r="P29" s="56">
        <f t="shared" si="3"/>
        <v>4.2833333333333334E-2</v>
      </c>
      <c r="Q29" s="56">
        <f t="shared" si="3"/>
        <v>4.1494791666666669E-2</v>
      </c>
      <c r="R29" s="56">
        <f t="shared" si="3"/>
        <v>4.5510416666666664E-2</v>
      </c>
      <c r="S29" s="7"/>
      <c r="T29" s="13">
        <v>51</v>
      </c>
      <c r="U29" s="13">
        <v>65</v>
      </c>
      <c r="V29" s="13">
        <v>60</v>
      </c>
      <c r="W29" s="13"/>
      <c r="X29" s="13"/>
      <c r="Y29" s="13"/>
      <c r="Z29" s="7"/>
      <c r="AA29" s="15">
        <v>51</v>
      </c>
      <c r="AB29" s="15">
        <v>60</v>
      </c>
      <c r="AC29" s="15"/>
      <c r="AD29" s="15"/>
      <c r="AE29" s="15">
        <v>65</v>
      </c>
      <c r="AF29" s="15"/>
    </row>
    <row r="30" spans="1:32">
      <c r="A30" s="1" t="s">
        <v>11</v>
      </c>
      <c r="B30" s="1" t="s">
        <v>23</v>
      </c>
      <c r="C30" s="42">
        <v>3</v>
      </c>
      <c r="D30" s="2" t="s">
        <v>35</v>
      </c>
      <c r="E30" s="7"/>
      <c r="F30" s="1" t="s">
        <v>131</v>
      </c>
      <c r="G30" s="64">
        <v>6.7</v>
      </c>
      <c r="H30" s="64"/>
      <c r="I30" s="42">
        <v>90</v>
      </c>
      <c r="J30" s="42"/>
      <c r="K30" s="8">
        <f t="shared" si="0"/>
        <v>7.33</v>
      </c>
      <c r="L30" s="7"/>
      <c r="M30" s="56">
        <f t="shared" si="3"/>
        <v>3.5631944444444445E-2</v>
      </c>
      <c r="N30" s="56">
        <f t="shared" si="3"/>
        <v>3.8601273148148145E-2</v>
      </c>
      <c r="O30" s="56">
        <f t="shared" si="3"/>
        <v>3.9449652777777781E-2</v>
      </c>
      <c r="P30" s="56">
        <f t="shared" si="3"/>
        <v>4.0722222222222222E-2</v>
      </c>
      <c r="Q30" s="56">
        <f t="shared" si="3"/>
        <v>3.9449652777777781E-2</v>
      </c>
      <c r="R30" s="56">
        <f t="shared" si="3"/>
        <v>4.3267361111111111E-2</v>
      </c>
      <c r="S30" s="7"/>
      <c r="T30" s="13">
        <v>51</v>
      </c>
      <c r="U30" s="13">
        <v>65</v>
      </c>
      <c r="V30" s="13">
        <v>60</v>
      </c>
      <c r="W30" s="13"/>
      <c r="X30" s="13"/>
      <c r="Y30" s="13"/>
      <c r="Z30" s="7"/>
      <c r="AA30" s="15">
        <v>51</v>
      </c>
      <c r="AB30" s="15">
        <v>60</v>
      </c>
      <c r="AC30" s="15"/>
      <c r="AD30" s="15"/>
      <c r="AE30" s="15">
        <v>65</v>
      </c>
      <c r="AF30" s="15"/>
    </row>
    <row r="31" spans="1:32">
      <c r="A31" s="1" t="s">
        <v>11</v>
      </c>
      <c r="B31" s="1" t="s">
        <v>23</v>
      </c>
      <c r="C31" s="42">
        <v>3</v>
      </c>
      <c r="D31" s="2" t="s">
        <v>35</v>
      </c>
      <c r="E31" s="7"/>
      <c r="F31" s="1" t="s">
        <v>132</v>
      </c>
      <c r="G31" s="64">
        <v>7</v>
      </c>
      <c r="H31" s="64"/>
      <c r="I31" s="42">
        <v>160</v>
      </c>
      <c r="J31" s="42"/>
      <c r="K31" s="8">
        <f t="shared" si="0"/>
        <v>8.120000000000001</v>
      </c>
      <c r="L31" s="7"/>
      <c r="M31" s="56">
        <f t="shared" si="3"/>
        <v>3.9472222222222228E-2</v>
      </c>
      <c r="N31" s="56">
        <f t="shared" si="3"/>
        <v>4.2761574074074077E-2</v>
      </c>
      <c r="O31" s="56">
        <f t="shared" si="3"/>
        <v>4.3701388888888901E-2</v>
      </c>
      <c r="P31" s="56">
        <f t="shared" si="3"/>
        <v>4.5111111111111116E-2</v>
      </c>
      <c r="Q31" s="56">
        <f t="shared" si="3"/>
        <v>4.3701388888888901E-2</v>
      </c>
      <c r="R31" s="56">
        <f t="shared" si="3"/>
        <v>4.793055555555556E-2</v>
      </c>
      <c r="S31" s="7"/>
      <c r="T31" s="13">
        <v>51</v>
      </c>
      <c r="U31" s="13">
        <v>65</v>
      </c>
      <c r="V31" s="13">
        <v>60</v>
      </c>
      <c r="W31" s="13"/>
      <c r="X31" s="13"/>
      <c r="Y31" s="13"/>
      <c r="Z31" s="7"/>
      <c r="AA31" s="15">
        <v>51</v>
      </c>
      <c r="AB31" s="15">
        <v>60</v>
      </c>
      <c r="AC31" s="15"/>
      <c r="AD31" s="15"/>
      <c r="AE31" s="15">
        <v>65</v>
      </c>
      <c r="AF31" s="15"/>
    </row>
    <row r="32" spans="1:32">
      <c r="A32" s="1" t="s">
        <v>12</v>
      </c>
      <c r="B32" s="1" t="s">
        <v>24</v>
      </c>
      <c r="C32" s="42">
        <v>3</v>
      </c>
      <c r="D32" s="2" t="s">
        <v>34</v>
      </c>
      <c r="E32" s="7"/>
      <c r="F32" s="1" t="s">
        <v>133</v>
      </c>
      <c r="G32" s="64">
        <v>8.9</v>
      </c>
      <c r="H32" s="64"/>
      <c r="I32" s="42">
        <v>180</v>
      </c>
      <c r="J32" s="42"/>
      <c r="K32" s="8">
        <f t="shared" si="0"/>
        <v>10.16</v>
      </c>
      <c r="L32" s="7"/>
      <c r="M32" s="56">
        <f t="shared" si="3"/>
        <v>5.4327777777777787E-2</v>
      </c>
      <c r="N32" s="56">
        <f t="shared" si="3"/>
        <v>5.8855092592592598E-2</v>
      </c>
      <c r="O32" s="56">
        <f t="shared" si="3"/>
        <v>6.0148611111111132E-2</v>
      </c>
      <c r="P32" s="56">
        <f t="shared" si="3"/>
        <v>6.2088888888888895E-2</v>
      </c>
      <c r="Q32" s="56">
        <f t="shared" si="3"/>
        <v>6.0148611111111132E-2</v>
      </c>
      <c r="R32" s="56">
        <f t="shared" si="3"/>
        <v>6.5969444444444442E-2</v>
      </c>
      <c r="S32" s="7"/>
      <c r="T32" s="13"/>
      <c r="U32" s="13">
        <v>54</v>
      </c>
      <c r="V32" s="13">
        <v>64</v>
      </c>
      <c r="W32" s="13"/>
      <c r="X32" s="13"/>
      <c r="Y32" s="13"/>
      <c r="Z32" s="7"/>
      <c r="AA32" s="15">
        <v>48</v>
      </c>
      <c r="AB32" s="15">
        <v>64</v>
      </c>
      <c r="AC32" s="15"/>
      <c r="AD32" s="15"/>
      <c r="AE32" s="15">
        <v>54</v>
      </c>
      <c r="AF32" s="15"/>
    </row>
    <row r="33" spans="1:32">
      <c r="A33" s="1" t="s">
        <v>12</v>
      </c>
      <c r="B33" s="1" t="s">
        <v>24</v>
      </c>
      <c r="C33" s="42">
        <v>3</v>
      </c>
      <c r="D33" s="2" t="s">
        <v>34</v>
      </c>
      <c r="E33" s="7"/>
      <c r="F33" s="1" t="s">
        <v>134</v>
      </c>
      <c r="G33" s="64">
        <v>8.6999999999999993</v>
      </c>
      <c r="H33" s="64"/>
      <c r="I33" s="42">
        <v>130</v>
      </c>
      <c r="J33" s="42"/>
      <c r="K33" s="8">
        <f t="shared" si="0"/>
        <v>9.61</v>
      </c>
      <c r="L33" s="7"/>
      <c r="M33" s="56">
        <f t="shared" si="3"/>
        <v>5.1386805555555561E-2</v>
      </c>
      <c r="N33" s="56">
        <f t="shared" si="3"/>
        <v>5.566903935185185E-2</v>
      </c>
      <c r="O33" s="56">
        <f t="shared" si="3"/>
        <v>5.6892534722222235E-2</v>
      </c>
      <c r="P33" s="56">
        <f t="shared" si="3"/>
        <v>5.8727777777777775E-2</v>
      </c>
      <c r="Q33" s="56">
        <f t="shared" si="3"/>
        <v>5.6892534722222235E-2</v>
      </c>
      <c r="R33" s="56">
        <f t="shared" si="3"/>
        <v>6.2398263888888889E-2</v>
      </c>
      <c r="S33" s="7"/>
      <c r="T33" s="13"/>
      <c r="U33" s="13">
        <v>54</v>
      </c>
      <c r="V33" s="13">
        <v>64</v>
      </c>
      <c r="W33" s="13"/>
      <c r="X33" s="13"/>
      <c r="Y33" s="13"/>
      <c r="Z33" s="7"/>
      <c r="AA33" s="15">
        <v>48</v>
      </c>
      <c r="AB33" s="15">
        <v>64</v>
      </c>
      <c r="AC33" s="15"/>
      <c r="AD33" s="15"/>
      <c r="AE33" s="15">
        <v>54</v>
      </c>
      <c r="AF33" s="15"/>
    </row>
    <row r="34" spans="1:32">
      <c r="A34" s="1" t="s">
        <v>12</v>
      </c>
      <c r="B34" s="1" t="s">
        <v>24</v>
      </c>
      <c r="C34" s="42">
        <v>3</v>
      </c>
      <c r="D34" s="2" t="s">
        <v>34</v>
      </c>
      <c r="E34" s="7"/>
      <c r="F34" s="1" t="s">
        <v>135</v>
      </c>
      <c r="G34" s="64">
        <v>8.6</v>
      </c>
      <c r="H34" s="64"/>
      <c r="I34" s="42">
        <v>170</v>
      </c>
      <c r="J34" s="42"/>
      <c r="K34" s="8">
        <f t="shared" si="0"/>
        <v>9.7899999999999991</v>
      </c>
      <c r="L34" s="7"/>
      <c r="M34" s="56">
        <f t="shared" ref="M34:R48" si="4">VLOOKUP(M$2,Basis,2,FALSE)*VLOOKUP($B34,Schwierigkeit,2,FALSE)*$K34</f>
        <v>5.2349305555555559E-2</v>
      </c>
      <c r="N34" s="56">
        <f t="shared" si="4"/>
        <v>5.6711747685185186E-2</v>
      </c>
      <c r="O34" s="56">
        <f t="shared" si="4"/>
        <v>5.7958159722222236E-2</v>
      </c>
      <c r="P34" s="56">
        <f t="shared" si="4"/>
        <v>5.9827777777777778E-2</v>
      </c>
      <c r="Q34" s="56">
        <f t="shared" si="4"/>
        <v>5.7958159722222236E-2</v>
      </c>
      <c r="R34" s="56">
        <f t="shared" si="4"/>
        <v>6.3567013888888885E-2</v>
      </c>
      <c r="S34" s="7"/>
      <c r="T34" s="13"/>
      <c r="U34" s="13">
        <v>54</v>
      </c>
      <c r="V34" s="13">
        <v>64</v>
      </c>
      <c r="W34" s="13"/>
      <c r="X34" s="13"/>
      <c r="Y34" s="13"/>
      <c r="Z34" s="7"/>
      <c r="AA34" s="15">
        <v>48</v>
      </c>
      <c r="AB34" s="15">
        <v>64</v>
      </c>
      <c r="AC34" s="15"/>
      <c r="AD34" s="15"/>
      <c r="AE34" s="15">
        <v>54</v>
      </c>
      <c r="AF34" s="15"/>
    </row>
    <row r="35" spans="1:32">
      <c r="A35" s="1" t="s">
        <v>13</v>
      </c>
      <c r="B35" s="1" t="s">
        <v>25</v>
      </c>
      <c r="C35" s="42">
        <v>6</v>
      </c>
      <c r="D35" s="2" t="s">
        <v>34</v>
      </c>
      <c r="E35" s="7"/>
      <c r="F35" s="1" t="s">
        <v>136</v>
      </c>
      <c r="G35" s="64">
        <v>6.2</v>
      </c>
      <c r="H35" s="64"/>
      <c r="I35" s="42">
        <v>155</v>
      </c>
      <c r="J35" s="42"/>
      <c r="K35" s="8">
        <f t="shared" si="0"/>
        <v>7.2850000000000001</v>
      </c>
      <c r="L35" s="7"/>
      <c r="M35" s="56">
        <f t="shared" si="4"/>
        <v>3.5413194444444449E-2</v>
      </c>
      <c r="N35" s="56">
        <f t="shared" si="4"/>
        <v>3.836429398148148E-2</v>
      </c>
      <c r="O35" s="56">
        <f t="shared" si="4"/>
        <v>3.9207465277777784E-2</v>
      </c>
      <c r="P35" s="56">
        <f t="shared" si="4"/>
        <v>4.0472222222222222E-2</v>
      </c>
      <c r="Q35" s="56">
        <f t="shared" si="4"/>
        <v>3.9207465277777784E-2</v>
      </c>
      <c r="R35" s="56">
        <f t="shared" si="4"/>
        <v>4.3001736111111112E-2</v>
      </c>
      <c r="S35" s="7"/>
      <c r="T35" s="13"/>
      <c r="U35" s="13"/>
      <c r="V35" s="13"/>
      <c r="W35" s="13"/>
      <c r="X35" s="13"/>
      <c r="Y35" s="13"/>
      <c r="Z35" s="7"/>
      <c r="AA35" s="15"/>
      <c r="AB35" s="15"/>
      <c r="AC35" s="15"/>
      <c r="AD35" s="15"/>
      <c r="AE35" s="15"/>
      <c r="AF35" s="15"/>
    </row>
    <row r="36" spans="1:32">
      <c r="A36" s="1" t="s">
        <v>13</v>
      </c>
      <c r="B36" s="1" t="s">
        <v>25</v>
      </c>
      <c r="C36" s="42">
        <v>6</v>
      </c>
      <c r="D36" s="2" t="s">
        <v>34</v>
      </c>
      <c r="E36" s="7"/>
      <c r="F36" s="1" t="s">
        <v>137</v>
      </c>
      <c r="G36" s="64">
        <v>5.9</v>
      </c>
      <c r="H36" s="64"/>
      <c r="I36" s="42">
        <v>110</v>
      </c>
      <c r="J36" s="42"/>
      <c r="K36" s="8">
        <f t="shared" si="0"/>
        <v>6.67</v>
      </c>
      <c r="L36" s="7"/>
      <c r="M36" s="56">
        <f t="shared" si="4"/>
        <v>3.2423611111111111E-2</v>
      </c>
      <c r="N36" s="56">
        <f t="shared" si="4"/>
        <v>3.5125578703703704E-2</v>
      </c>
      <c r="O36" s="56">
        <f t="shared" si="4"/>
        <v>3.5897569444444451E-2</v>
      </c>
      <c r="P36" s="56">
        <f t="shared" si="4"/>
        <v>3.7055555555555557E-2</v>
      </c>
      <c r="Q36" s="56">
        <f t="shared" si="4"/>
        <v>3.5897569444444451E-2</v>
      </c>
      <c r="R36" s="56">
        <f t="shared" si="4"/>
        <v>3.9371527777777776E-2</v>
      </c>
      <c r="S36" s="7"/>
      <c r="T36" s="13"/>
      <c r="U36" s="13"/>
      <c r="V36" s="13"/>
      <c r="W36" s="13"/>
      <c r="X36" s="13"/>
      <c r="Y36" s="13"/>
      <c r="Z36" s="7"/>
      <c r="AA36" s="15"/>
      <c r="AB36" s="15"/>
      <c r="AC36" s="15"/>
      <c r="AD36" s="15"/>
      <c r="AE36" s="15"/>
      <c r="AF36" s="15"/>
    </row>
    <row r="37" spans="1:32">
      <c r="A37" s="1" t="s">
        <v>13</v>
      </c>
      <c r="B37" s="1" t="s">
        <v>25</v>
      </c>
      <c r="C37" s="42">
        <v>6</v>
      </c>
      <c r="D37" s="2" t="s">
        <v>34</v>
      </c>
      <c r="E37" s="7"/>
      <c r="F37" s="1" t="s">
        <v>138</v>
      </c>
      <c r="G37" s="64">
        <v>5.6</v>
      </c>
      <c r="H37" s="64"/>
      <c r="I37" s="42">
        <v>220</v>
      </c>
      <c r="J37" s="42"/>
      <c r="K37" s="8">
        <f t="shared" si="0"/>
        <v>7.14</v>
      </c>
      <c r="L37" s="7"/>
      <c r="M37" s="56">
        <f t="shared" si="4"/>
        <v>3.4708333333333334E-2</v>
      </c>
      <c r="N37" s="56">
        <f t="shared" si="4"/>
        <v>3.7600694444444444E-2</v>
      </c>
      <c r="O37" s="56">
        <f t="shared" si="4"/>
        <v>3.8427083333333341E-2</v>
      </c>
      <c r="P37" s="56">
        <f t="shared" si="4"/>
        <v>3.966666666666667E-2</v>
      </c>
      <c r="Q37" s="56">
        <f t="shared" si="4"/>
        <v>3.8427083333333341E-2</v>
      </c>
      <c r="R37" s="56">
        <f t="shared" si="4"/>
        <v>4.2145833333333334E-2</v>
      </c>
      <c r="S37" s="7"/>
      <c r="T37" s="13"/>
      <c r="U37" s="13"/>
      <c r="V37" s="13"/>
      <c r="W37" s="13"/>
      <c r="X37" s="13"/>
      <c r="Y37" s="13"/>
      <c r="Z37" s="7"/>
      <c r="AA37" s="15"/>
      <c r="AB37" s="15"/>
      <c r="AC37" s="15"/>
      <c r="AD37" s="15"/>
      <c r="AE37" s="15"/>
      <c r="AF37" s="15"/>
    </row>
    <row r="38" spans="1:32">
      <c r="A38" s="1" t="s">
        <v>13</v>
      </c>
      <c r="B38" s="1" t="s">
        <v>25</v>
      </c>
      <c r="C38" s="42">
        <v>6</v>
      </c>
      <c r="D38" s="2" t="s">
        <v>34</v>
      </c>
      <c r="E38" s="7"/>
      <c r="F38" s="1" t="s">
        <v>139</v>
      </c>
      <c r="G38" s="64">
        <v>4.7</v>
      </c>
      <c r="H38" s="64"/>
      <c r="I38" s="42">
        <v>50</v>
      </c>
      <c r="J38" s="42"/>
      <c r="K38" s="8">
        <f t="shared" si="0"/>
        <v>5.05</v>
      </c>
      <c r="L38" s="7"/>
      <c r="M38" s="56">
        <f t="shared" si="4"/>
        <v>2.4548611111111111E-2</v>
      </c>
      <c r="N38" s="56">
        <f t="shared" si="4"/>
        <v>2.6594328703703703E-2</v>
      </c>
      <c r="O38" s="56">
        <f t="shared" si="4"/>
        <v>2.7178819444444446E-2</v>
      </c>
      <c r="P38" s="56">
        <f t="shared" si="4"/>
        <v>2.8055555555555556E-2</v>
      </c>
      <c r="Q38" s="56">
        <f t="shared" si="4"/>
        <v>2.7178819444444446E-2</v>
      </c>
      <c r="R38" s="56">
        <f t="shared" si="4"/>
        <v>2.9809027777777775E-2</v>
      </c>
      <c r="S38" s="7"/>
      <c r="T38" s="13"/>
      <c r="U38" s="13"/>
      <c r="V38" s="13"/>
      <c r="W38" s="13"/>
      <c r="X38" s="13"/>
      <c r="Y38" s="13"/>
      <c r="Z38" s="7"/>
      <c r="AA38" s="15"/>
      <c r="AB38" s="15"/>
      <c r="AC38" s="15"/>
      <c r="AD38" s="15"/>
      <c r="AE38" s="15"/>
      <c r="AF38" s="15"/>
    </row>
    <row r="39" spans="1:32">
      <c r="A39" s="1" t="s">
        <v>13</v>
      </c>
      <c r="B39" s="1" t="s">
        <v>25</v>
      </c>
      <c r="C39" s="42">
        <v>6</v>
      </c>
      <c r="D39" s="2" t="s">
        <v>34</v>
      </c>
      <c r="E39" s="7"/>
      <c r="F39" s="1" t="s">
        <v>140</v>
      </c>
      <c r="G39" s="64">
        <v>6.6</v>
      </c>
      <c r="H39" s="64"/>
      <c r="I39" s="42">
        <v>90</v>
      </c>
      <c r="J39" s="42"/>
      <c r="K39" s="8">
        <f t="shared" si="0"/>
        <v>7.2299999999999995</v>
      </c>
      <c r="L39" s="7"/>
      <c r="M39" s="56">
        <f t="shared" si="4"/>
        <v>3.5145833333333334E-2</v>
      </c>
      <c r="N39" s="56">
        <f t="shared" si="4"/>
        <v>3.8074652777777773E-2</v>
      </c>
      <c r="O39" s="56">
        <f t="shared" si="4"/>
        <v>3.8911458333333336E-2</v>
      </c>
      <c r="P39" s="56">
        <f t="shared" si="4"/>
        <v>4.0166666666666663E-2</v>
      </c>
      <c r="Q39" s="56">
        <f t="shared" si="4"/>
        <v>3.8911458333333336E-2</v>
      </c>
      <c r="R39" s="56">
        <f t="shared" si="4"/>
        <v>4.2677083333333331E-2</v>
      </c>
      <c r="S39" s="7"/>
      <c r="T39" s="13"/>
      <c r="U39" s="13"/>
      <c r="V39" s="13"/>
      <c r="W39" s="13"/>
      <c r="X39" s="13"/>
      <c r="Y39" s="13"/>
      <c r="Z39" s="7"/>
      <c r="AA39" s="15"/>
      <c r="AB39" s="15"/>
      <c r="AC39" s="15"/>
      <c r="AD39" s="15"/>
      <c r="AE39" s="15"/>
      <c r="AF39" s="15"/>
    </row>
    <row r="40" spans="1:32">
      <c r="A40" s="1" t="s">
        <v>13</v>
      </c>
      <c r="B40" s="1" t="s">
        <v>25</v>
      </c>
      <c r="C40" s="42">
        <v>6</v>
      </c>
      <c r="D40" s="2" t="s">
        <v>34</v>
      </c>
      <c r="E40" s="7"/>
      <c r="F40" s="1" t="s">
        <v>141</v>
      </c>
      <c r="G40" s="64">
        <v>6</v>
      </c>
      <c r="H40" s="64"/>
      <c r="I40" s="42">
        <v>130</v>
      </c>
      <c r="J40" s="42"/>
      <c r="K40" s="8">
        <f t="shared" si="0"/>
        <v>6.91</v>
      </c>
      <c r="L40" s="7"/>
      <c r="M40" s="56">
        <f t="shared" si="4"/>
        <v>3.3590277777777781E-2</v>
      </c>
      <c r="N40" s="56">
        <f t="shared" si="4"/>
        <v>3.6389467592592595E-2</v>
      </c>
      <c r="O40" s="56">
        <f t="shared" si="4"/>
        <v>3.7189236111111121E-2</v>
      </c>
      <c r="P40" s="56">
        <f t="shared" si="4"/>
        <v>3.8388888888888889E-2</v>
      </c>
      <c r="Q40" s="56">
        <f t="shared" si="4"/>
        <v>3.7189236111111121E-2</v>
      </c>
      <c r="R40" s="56">
        <f t="shared" si="4"/>
        <v>4.0788194444444446E-2</v>
      </c>
      <c r="S40" s="7"/>
      <c r="T40" s="13"/>
      <c r="U40" s="13"/>
      <c r="V40" s="13"/>
      <c r="W40" s="13"/>
      <c r="X40" s="13"/>
      <c r="Y40" s="13"/>
      <c r="Z40" s="7"/>
      <c r="AA40" s="15"/>
      <c r="AB40" s="15"/>
      <c r="AC40" s="15"/>
      <c r="AD40" s="15"/>
      <c r="AE40" s="15"/>
      <c r="AF40" s="15"/>
    </row>
    <row r="41" spans="1:32">
      <c r="A41" s="1" t="s">
        <v>3</v>
      </c>
      <c r="B41" s="1" t="s">
        <v>15</v>
      </c>
      <c r="C41" s="42">
        <v>4</v>
      </c>
      <c r="D41" s="2" t="s">
        <v>35</v>
      </c>
      <c r="E41" s="7"/>
      <c r="F41" s="1" t="s">
        <v>15</v>
      </c>
      <c r="G41" s="64"/>
      <c r="H41" s="64"/>
      <c r="I41" s="42"/>
      <c r="J41" s="42"/>
      <c r="K41" s="8">
        <f>AVERAGE(K4:K7)</f>
        <v>3.9574999999999996</v>
      </c>
      <c r="L41" s="7"/>
      <c r="M41" s="56">
        <f t="shared" si="4"/>
        <v>1.7314062500000001E-2</v>
      </c>
      <c r="N41" s="56">
        <f t="shared" si="4"/>
        <v>1.8756901041666666E-2</v>
      </c>
      <c r="O41" s="56">
        <f t="shared" si="4"/>
        <v>1.9169140625000001E-2</v>
      </c>
      <c r="P41" s="56">
        <f t="shared" si="4"/>
        <v>1.97875E-2</v>
      </c>
      <c r="Q41" s="56">
        <f t="shared" si="4"/>
        <v>1.9169140625000001E-2</v>
      </c>
      <c r="R41" s="56">
        <f t="shared" si="4"/>
        <v>2.102421875E-2</v>
      </c>
      <c r="S41" s="7"/>
      <c r="T41" s="13"/>
      <c r="U41" s="13"/>
      <c r="V41" s="13"/>
      <c r="W41" s="13"/>
      <c r="X41" s="13">
        <v>37</v>
      </c>
      <c r="Y41" s="13"/>
      <c r="Z41" s="7"/>
      <c r="AA41" s="15"/>
      <c r="AB41" s="15"/>
      <c r="AC41" s="15"/>
      <c r="AD41" s="15"/>
      <c r="AE41" s="15"/>
      <c r="AF41" s="15">
        <v>37</v>
      </c>
    </row>
    <row r="42" spans="1:32">
      <c r="A42" s="1" t="s">
        <v>4</v>
      </c>
      <c r="B42" s="1" t="s">
        <v>16</v>
      </c>
      <c r="C42" s="42">
        <v>4</v>
      </c>
      <c r="D42" s="2" t="s">
        <v>34</v>
      </c>
      <c r="E42" s="7"/>
      <c r="F42" s="1" t="s">
        <v>16</v>
      </c>
      <c r="G42" s="64"/>
      <c r="H42" s="64"/>
      <c r="I42" s="42"/>
      <c r="J42" s="42"/>
      <c r="K42" s="8">
        <f>AVERAGE(K8:K11)</f>
        <v>6.17</v>
      </c>
      <c r="L42" s="7"/>
      <c r="M42" s="56">
        <f t="shared" si="4"/>
        <v>2.9993055555555554E-2</v>
      </c>
      <c r="N42" s="56">
        <f t="shared" si="4"/>
        <v>3.2492476851851852E-2</v>
      </c>
      <c r="O42" s="56">
        <f t="shared" si="4"/>
        <v>3.3206597222222224E-2</v>
      </c>
      <c r="P42" s="56">
        <f t="shared" si="4"/>
        <v>3.4277777777777782E-2</v>
      </c>
      <c r="Q42" s="56">
        <f t="shared" si="4"/>
        <v>3.3206597222222224E-2</v>
      </c>
      <c r="R42" s="56">
        <f t="shared" si="4"/>
        <v>3.6420138888888891E-2</v>
      </c>
      <c r="S42" s="7"/>
      <c r="T42" s="13"/>
      <c r="U42" s="13"/>
      <c r="V42" s="13"/>
      <c r="W42" s="13"/>
      <c r="X42" s="13">
        <v>37</v>
      </c>
      <c r="Y42" s="13"/>
      <c r="Z42" s="7"/>
      <c r="AA42" s="15"/>
      <c r="AB42" s="15"/>
      <c r="AC42" s="15"/>
      <c r="AD42" s="15"/>
      <c r="AE42" s="15"/>
      <c r="AF42" s="15">
        <v>37</v>
      </c>
    </row>
    <row r="43" spans="1:32">
      <c r="A43" s="1" t="s">
        <v>143</v>
      </c>
      <c r="B43" s="1" t="s">
        <v>17</v>
      </c>
      <c r="C43" s="42">
        <v>4</v>
      </c>
      <c r="D43" s="2" t="s">
        <v>35</v>
      </c>
      <c r="E43" s="7"/>
      <c r="F43" s="1" t="s">
        <v>17</v>
      </c>
      <c r="G43" s="64"/>
      <c r="H43" s="64"/>
      <c r="I43" s="42"/>
      <c r="J43" s="42"/>
      <c r="K43" s="8">
        <f>AVERAGE(K12:K15)</f>
        <v>8.4712500000000013</v>
      </c>
      <c r="L43" s="7"/>
      <c r="M43" s="56">
        <f t="shared" si="4"/>
        <v>4.1179687500000006E-2</v>
      </c>
      <c r="N43" s="56">
        <f t="shared" si="4"/>
        <v>4.4611328125000002E-2</v>
      </c>
      <c r="O43" s="56">
        <f t="shared" si="4"/>
        <v>4.5591796875000014E-2</v>
      </c>
      <c r="P43" s="56">
        <f t="shared" si="4"/>
        <v>4.7062500000000007E-2</v>
      </c>
      <c r="Q43" s="56">
        <f t="shared" si="4"/>
        <v>4.5591796875000014E-2</v>
      </c>
      <c r="R43" s="56">
        <f t="shared" si="4"/>
        <v>5.0003906250000008E-2</v>
      </c>
      <c r="S43" s="7"/>
      <c r="T43" s="13"/>
      <c r="U43" s="13"/>
      <c r="V43" s="13"/>
      <c r="W43" s="13"/>
      <c r="X43" s="13">
        <v>37</v>
      </c>
      <c r="Y43" s="13"/>
      <c r="Z43" s="7"/>
      <c r="AA43" s="15"/>
      <c r="AB43" s="15"/>
      <c r="AC43" s="15"/>
      <c r="AD43" s="15"/>
      <c r="AE43" s="15"/>
      <c r="AF43" s="15">
        <v>37</v>
      </c>
    </row>
    <row r="44" spans="1:32">
      <c r="A44" s="1" t="s">
        <v>6</v>
      </c>
      <c r="B44" s="1" t="s">
        <v>18</v>
      </c>
      <c r="C44" s="42">
        <v>3</v>
      </c>
      <c r="D44" s="2" t="s">
        <v>34</v>
      </c>
      <c r="E44" s="7"/>
      <c r="F44" s="1" t="s">
        <v>18</v>
      </c>
      <c r="G44" s="64"/>
      <c r="H44" s="64"/>
      <c r="I44" s="42"/>
      <c r="J44" s="42"/>
      <c r="K44" s="8">
        <f>AVERAGE(K16:K18)</f>
        <v>11.12</v>
      </c>
      <c r="L44" s="7"/>
      <c r="M44" s="56">
        <f t="shared" si="4"/>
        <v>5.6758333333333327E-2</v>
      </c>
      <c r="N44" s="56">
        <f t="shared" si="4"/>
        <v>6.1488194444444436E-2</v>
      </c>
      <c r="O44" s="56">
        <f t="shared" si="4"/>
        <v>6.2839583333333338E-2</v>
      </c>
      <c r="P44" s="56">
        <f t="shared" si="4"/>
        <v>6.486666666666667E-2</v>
      </c>
      <c r="Q44" s="56">
        <f t="shared" si="4"/>
        <v>6.2839583333333338E-2</v>
      </c>
      <c r="R44" s="56">
        <f t="shared" si="4"/>
        <v>6.8920833333333334E-2</v>
      </c>
      <c r="S44" s="7"/>
      <c r="T44" s="13"/>
      <c r="U44" s="13"/>
      <c r="V44" s="13"/>
      <c r="W44" s="13"/>
      <c r="X44" s="13">
        <v>37</v>
      </c>
      <c r="Y44" s="13"/>
      <c r="Z44" s="7"/>
      <c r="AA44" s="15"/>
      <c r="AB44" s="15"/>
      <c r="AC44" s="15"/>
      <c r="AD44" s="15"/>
      <c r="AE44" s="15"/>
      <c r="AF44" s="15">
        <v>37</v>
      </c>
    </row>
    <row r="45" spans="1:32">
      <c r="A45" s="1" t="s">
        <v>9</v>
      </c>
      <c r="B45" s="1" t="s">
        <v>21</v>
      </c>
      <c r="C45" s="42">
        <v>5</v>
      </c>
      <c r="D45" s="2" t="s">
        <v>35</v>
      </c>
      <c r="E45" s="7"/>
      <c r="F45" s="1" t="s">
        <v>21</v>
      </c>
      <c r="G45" s="64"/>
      <c r="H45" s="64"/>
      <c r="I45" s="42"/>
      <c r="J45" s="42"/>
      <c r="K45" s="8">
        <f>AVERAGE(K21:K25)</f>
        <v>3.5759999999999996</v>
      </c>
      <c r="L45" s="7"/>
      <c r="M45" s="56">
        <f t="shared" si="4"/>
        <v>1.5644999999999999E-2</v>
      </c>
      <c r="N45" s="56">
        <f t="shared" si="4"/>
        <v>1.6948749999999999E-2</v>
      </c>
      <c r="O45" s="56">
        <f t="shared" si="4"/>
        <v>1.732125E-2</v>
      </c>
      <c r="P45" s="56">
        <f t="shared" si="4"/>
        <v>1.788E-2</v>
      </c>
      <c r="Q45" s="56">
        <f t="shared" si="4"/>
        <v>1.732125E-2</v>
      </c>
      <c r="R45" s="56">
        <f t="shared" si="4"/>
        <v>1.89975E-2</v>
      </c>
      <c r="S45" s="7"/>
      <c r="T45" s="13"/>
      <c r="U45" s="13"/>
      <c r="V45" s="13"/>
      <c r="W45" s="13"/>
      <c r="X45" s="13">
        <v>37</v>
      </c>
      <c r="Y45" s="13"/>
      <c r="Z45" s="7"/>
      <c r="AA45" s="15"/>
      <c r="AB45" s="15"/>
      <c r="AC45" s="15"/>
      <c r="AD45" s="15"/>
      <c r="AE45" s="15"/>
      <c r="AF45" s="15">
        <v>37</v>
      </c>
    </row>
    <row r="46" spans="1:32">
      <c r="A46" s="1" t="s">
        <v>10</v>
      </c>
      <c r="B46" s="1" t="s">
        <v>22</v>
      </c>
      <c r="C46" s="42">
        <v>3</v>
      </c>
      <c r="D46" s="2" t="s">
        <v>34</v>
      </c>
      <c r="E46" s="7"/>
      <c r="F46" s="1" t="s">
        <v>22</v>
      </c>
      <c r="G46" s="64"/>
      <c r="H46" s="64"/>
      <c r="I46" s="42"/>
      <c r="J46" s="42"/>
      <c r="K46" s="8">
        <f>AVERAGE(K26:K28)</f>
        <v>5.2549999999999999</v>
      </c>
      <c r="L46" s="7"/>
      <c r="M46" s="56">
        <f t="shared" si="4"/>
        <v>2.5545138888888888E-2</v>
      </c>
      <c r="N46" s="56">
        <f t="shared" si="4"/>
        <v>2.7673900462962961E-2</v>
      </c>
      <c r="O46" s="56">
        <f t="shared" si="4"/>
        <v>2.8282118055555559E-2</v>
      </c>
      <c r="P46" s="56">
        <f t="shared" si="4"/>
        <v>2.9194444444444446E-2</v>
      </c>
      <c r="Q46" s="56">
        <f t="shared" si="4"/>
        <v>2.8282118055555559E-2</v>
      </c>
      <c r="R46" s="56">
        <f t="shared" si="4"/>
        <v>3.1019097222222222E-2</v>
      </c>
      <c r="S46" s="7"/>
      <c r="T46" s="13"/>
      <c r="U46" s="13"/>
      <c r="V46" s="13"/>
      <c r="W46" s="13"/>
      <c r="X46" s="13">
        <v>37</v>
      </c>
      <c r="Y46" s="13"/>
      <c r="Z46" s="7"/>
      <c r="AA46" s="15"/>
      <c r="AB46" s="15"/>
      <c r="AC46" s="15"/>
      <c r="AD46" s="15"/>
      <c r="AE46" s="15"/>
      <c r="AF46" s="15">
        <v>37</v>
      </c>
    </row>
    <row r="47" spans="1:32">
      <c r="A47" s="1" t="s">
        <v>11</v>
      </c>
      <c r="B47" s="1" t="s">
        <v>23</v>
      </c>
      <c r="C47" s="42">
        <v>3</v>
      </c>
      <c r="D47" s="2" t="s">
        <v>35</v>
      </c>
      <c r="E47" s="7"/>
      <c r="F47" s="1" t="s">
        <v>23</v>
      </c>
      <c r="G47" s="64"/>
      <c r="H47" s="64"/>
      <c r="I47" s="42"/>
      <c r="J47" s="42"/>
      <c r="K47" s="8">
        <f>AVERAGE(K29:K31)</f>
        <v>7.72</v>
      </c>
      <c r="L47" s="7"/>
      <c r="M47" s="56">
        <f t="shared" si="4"/>
        <v>3.7527777777777778E-2</v>
      </c>
      <c r="N47" s="56">
        <f t="shared" si="4"/>
        <v>4.065509259259259E-2</v>
      </c>
      <c r="O47" s="56">
        <f t="shared" si="4"/>
        <v>4.1548611111111119E-2</v>
      </c>
      <c r="P47" s="56">
        <f t="shared" si="4"/>
        <v>4.2888888888888886E-2</v>
      </c>
      <c r="Q47" s="56">
        <f t="shared" si="4"/>
        <v>4.1548611111111119E-2</v>
      </c>
      <c r="R47" s="56">
        <f t="shared" si="4"/>
        <v>4.556944444444444E-2</v>
      </c>
      <c r="S47" s="7"/>
      <c r="T47" s="13"/>
      <c r="U47" s="13"/>
      <c r="V47" s="13"/>
      <c r="W47" s="13"/>
      <c r="X47" s="13">
        <v>37</v>
      </c>
      <c r="Y47" s="13"/>
      <c r="Z47" s="7"/>
      <c r="AA47" s="15"/>
      <c r="AB47" s="15"/>
      <c r="AC47" s="15"/>
      <c r="AD47" s="15"/>
      <c r="AE47" s="15"/>
      <c r="AF47" s="15">
        <v>37</v>
      </c>
    </row>
    <row r="48" spans="1:32">
      <c r="A48" s="1" t="s">
        <v>12</v>
      </c>
      <c r="B48" s="1" t="s">
        <v>24</v>
      </c>
      <c r="C48" s="42">
        <v>3</v>
      </c>
      <c r="D48" s="2" t="s">
        <v>34</v>
      </c>
      <c r="E48" s="7"/>
      <c r="F48" s="1" t="s">
        <v>24</v>
      </c>
      <c r="G48" s="64"/>
      <c r="H48" s="64"/>
      <c r="I48" s="42"/>
      <c r="J48" s="42"/>
      <c r="K48" s="8">
        <f>AVERAGE(K32:K34)</f>
        <v>9.8533333333333335</v>
      </c>
      <c r="L48" s="7"/>
      <c r="M48" s="56">
        <f t="shared" si="4"/>
        <v>5.2687962962962971E-2</v>
      </c>
      <c r="N48" s="56">
        <f t="shared" si="4"/>
        <v>5.707862654320988E-2</v>
      </c>
      <c r="O48" s="56">
        <f t="shared" si="4"/>
        <v>5.8333101851851872E-2</v>
      </c>
      <c r="P48" s="56">
        <f t="shared" si="4"/>
        <v>6.0214814814814818E-2</v>
      </c>
      <c r="Q48" s="56">
        <f t="shared" si="4"/>
        <v>5.8333101851851872E-2</v>
      </c>
      <c r="R48" s="56">
        <f t="shared" si="4"/>
        <v>6.3978240740740738E-2</v>
      </c>
      <c r="S48" s="7"/>
      <c r="T48" s="13"/>
      <c r="U48" s="13"/>
      <c r="V48" s="13"/>
      <c r="W48" s="13"/>
      <c r="X48" s="13">
        <v>37</v>
      </c>
      <c r="Y48" s="13"/>
      <c r="Z48" s="7"/>
      <c r="AA48" s="15"/>
      <c r="AB48" s="15"/>
      <c r="AC48" s="15"/>
      <c r="AD48" s="15"/>
      <c r="AE48" s="15"/>
      <c r="AF48" s="15">
        <v>37</v>
      </c>
    </row>
    <row r="49" spans="11:19">
      <c r="K49" s="8">
        <f>SUMPRODUCT(K3:K39,C3:C39)</f>
        <v>911.16000000000008</v>
      </c>
      <c r="S49" s="7"/>
    </row>
  </sheetData>
  <mergeCells count="3">
    <mergeCell ref="AA1:AF1"/>
    <mergeCell ref="T1:Y1"/>
    <mergeCell ref="M1:R1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workbookViewId="0">
      <pane xSplit="2" ySplit="2" topLeftCell="C18" activePane="bottomRight" state="frozen"/>
      <selection pane="topRight" activeCell="C1" sqref="C1"/>
      <selection pane="bottomLeft" activeCell="A2" sqref="A2"/>
      <selection pane="bottomRight" activeCell="C3" sqref="C3:C278"/>
    </sheetView>
  </sheetViews>
  <sheetFormatPr baseColWidth="10" defaultColWidth="9.140625" defaultRowHeight="12.75"/>
  <cols>
    <col min="1" max="1" width="12.140625" bestFit="1" customWidth="1"/>
    <col min="2" max="2" width="7.42578125" style="63" bestFit="1" customWidth="1"/>
    <col min="3" max="3" width="9.5703125" style="63" bestFit="1" customWidth="1"/>
  </cols>
  <sheetData>
    <row r="1" spans="1:3" ht="15.75">
      <c r="A1" s="59"/>
      <c r="B1" s="60" t="s">
        <v>94</v>
      </c>
      <c r="C1" s="78" t="s">
        <v>95</v>
      </c>
    </row>
    <row r="2" spans="1:3">
      <c r="A2" s="58" t="s">
        <v>92</v>
      </c>
      <c r="B2" s="61" t="s">
        <v>96</v>
      </c>
      <c r="C2" s="61" t="s">
        <v>96</v>
      </c>
    </row>
    <row r="3" spans="1:3">
      <c r="A3" s="72" t="str">
        <f>CoursesBasis!$F3&amp;CoursesBasis!M$2</f>
        <v>SF1EL</v>
      </c>
      <c r="B3" s="73">
        <f>CoursesBasis!M3</f>
        <v>2.751388888888889E-2</v>
      </c>
      <c r="C3" s="73">
        <f t="shared" ref="C3:C66" si="0">VLOOKUP(A3,BahnLaufzeiten,14,FALSE)</f>
        <v>2.1388888888888888E-2</v>
      </c>
    </row>
    <row r="4" spans="1:3">
      <c r="A4" s="72" t="str">
        <f>CoursesBasis!$F4&amp;CoursesBasis!M$2</f>
        <v>SE1EL</v>
      </c>
      <c r="B4" s="73">
        <f>CoursesBasis!M4</f>
        <v>1.6996875000000002E-2</v>
      </c>
      <c r="C4" s="73" t="e">
        <f t="shared" si="0"/>
        <v>#N/A</v>
      </c>
    </row>
    <row r="5" spans="1:3">
      <c r="A5" s="72" t="str">
        <f>CoursesBasis!$F5&amp;CoursesBasis!M$2</f>
        <v>SE2EL</v>
      </c>
      <c r="B5" s="73">
        <f>CoursesBasis!M5</f>
        <v>1.7850000000000001E-2</v>
      </c>
      <c r="C5" s="73" t="e">
        <f t="shared" si="0"/>
        <v>#N/A</v>
      </c>
    </row>
    <row r="6" spans="1:3">
      <c r="A6" s="72" t="str">
        <f>CoursesBasis!$F6&amp;CoursesBasis!M$2</f>
        <v>SE3EL</v>
      </c>
      <c r="B6" s="73">
        <f>CoursesBasis!M6</f>
        <v>1.6253125E-2</v>
      </c>
      <c r="C6" s="73" t="e">
        <f t="shared" si="0"/>
        <v>#N/A</v>
      </c>
    </row>
    <row r="7" spans="1:3">
      <c r="A7" s="72" t="str">
        <f>CoursesBasis!$F7&amp;CoursesBasis!M$2</f>
        <v>SE4EL</v>
      </c>
      <c r="B7" s="73">
        <f>CoursesBasis!M7</f>
        <v>1.8156249999999999E-2</v>
      </c>
      <c r="C7" s="73">
        <f t="shared" si="0"/>
        <v>1.6574074074074074E-2</v>
      </c>
    </row>
    <row r="8" spans="1:3">
      <c r="A8" s="72" t="str">
        <f>CoursesBasis!$F8&amp;CoursesBasis!M$2</f>
        <v>SD1EL</v>
      </c>
      <c r="B8" s="73">
        <f>CoursesBasis!M8</f>
        <v>2.9142361111111112E-2</v>
      </c>
      <c r="C8" s="73" t="e">
        <f t="shared" si="0"/>
        <v>#N/A</v>
      </c>
    </row>
    <row r="9" spans="1:3">
      <c r="A9" s="72" t="str">
        <f>CoursesBasis!$F9&amp;CoursesBasis!M$2</f>
        <v>SD2EL</v>
      </c>
      <c r="B9" s="73">
        <f>CoursesBasis!M9</f>
        <v>3.1670138888888887E-2</v>
      </c>
      <c r="C9" s="73" t="e">
        <f t="shared" si="0"/>
        <v>#N/A</v>
      </c>
    </row>
    <row r="10" spans="1:3">
      <c r="A10" s="72" t="str">
        <f>CoursesBasis!$F10&amp;CoursesBasis!M$2</f>
        <v>SD3EL</v>
      </c>
      <c r="B10" s="73">
        <f>CoursesBasis!M10</f>
        <v>2.7659722222222224E-2</v>
      </c>
      <c r="C10" s="73" t="e">
        <f t="shared" si="0"/>
        <v>#N/A</v>
      </c>
    </row>
    <row r="11" spans="1:3">
      <c r="A11" s="72" t="str">
        <f>CoursesBasis!$F11&amp;CoursesBasis!M$2</f>
        <v>SD4EL</v>
      </c>
      <c r="B11" s="73">
        <f>CoursesBasis!M11</f>
        <v>3.15E-2</v>
      </c>
      <c r="C11" s="73" t="e">
        <f t="shared" si="0"/>
        <v>#N/A</v>
      </c>
    </row>
    <row r="12" spans="1:3">
      <c r="A12" s="72" t="str">
        <f>CoursesBasis!$F12&amp;CoursesBasis!M$2</f>
        <v>LE1EL</v>
      </c>
      <c r="B12" s="73">
        <f>CoursesBasis!M12</f>
        <v>4.0249999999999994E-2</v>
      </c>
      <c r="C12" s="73" t="e">
        <f t="shared" si="0"/>
        <v>#N/A</v>
      </c>
    </row>
    <row r="13" spans="1:3">
      <c r="A13" s="72" t="str">
        <f>CoursesBasis!$F13&amp;CoursesBasis!M$2</f>
        <v>LE2EL</v>
      </c>
      <c r="B13" s="73">
        <f>CoursesBasis!M13</f>
        <v>3.971527777777778E-2</v>
      </c>
      <c r="C13" s="73" t="e">
        <f t="shared" si="0"/>
        <v>#N/A</v>
      </c>
    </row>
    <row r="14" spans="1:3">
      <c r="A14" s="72" t="str">
        <f>CoursesBasis!$F14&amp;CoursesBasis!M$2</f>
        <v>LE3EL</v>
      </c>
      <c r="B14" s="73">
        <f>CoursesBasis!M14</f>
        <v>4.0565972222222225E-2</v>
      </c>
      <c r="C14" s="73" t="e">
        <f t="shared" si="0"/>
        <v>#N/A</v>
      </c>
    </row>
    <row r="15" spans="1:3">
      <c r="A15" s="72" t="str">
        <f>CoursesBasis!$F15&amp;CoursesBasis!M$2</f>
        <v>LE4EL</v>
      </c>
      <c r="B15" s="73">
        <f>CoursesBasis!M15</f>
        <v>4.4187499999999998E-2</v>
      </c>
      <c r="C15" s="73" t="e">
        <f t="shared" si="0"/>
        <v>#N/A</v>
      </c>
    </row>
    <row r="16" spans="1:3">
      <c r="A16" s="72" t="str">
        <f>CoursesBasis!$F16&amp;CoursesBasis!M$2</f>
        <v>LD1EL</v>
      </c>
      <c r="B16" s="73">
        <f>CoursesBasis!M16</f>
        <v>5.8442708333333329E-2</v>
      </c>
      <c r="C16" s="73">
        <f t="shared" si="0"/>
        <v>0</v>
      </c>
    </row>
    <row r="17" spans="1:3">
      <c r="A17" s="72" t="str">
        <f>CoursesBasis!$F17&amp;CoursesBasis!M$2</f>
        <v>LD2EL</v>
      </c>
      <c r="B17" s="73">
        <f>CoursesBasis!M17</f>
        <v>5.5201562500000002E-2</v>
      </c>
      <c r="C17" s="73">
        <f t="shared" si="0"/>
        <v>5.4270833333333331E-2</v>
      </c>
    </row>
    <row r="18" spans="1:3">
      <c r="A18" s="72" t="str">
        <f>CoursesBasis!$F18&amp;CoursesBasis!M$2</f>
        <v>LD3EL</v>
      </c>
      <c r="B18" s="73">
        <f>CoursesBasis!M18</f>
        <v>5.6630729166666671E-2</v>
      </c>
      <c r="C18" s="73" t="e">
        <f t="shared" si="0"/>
        <v>#N/A</v>
      </c>
    </row>
    <row r="19" spans="1:3">
      <c r="A19" s="72" t="str">
        <f>CoursesBasis!$F19&amp;CoursesBasis!M$2</f>
        <v>ST1EL</v>
      </c>
      <c r="B19" s="73">
        <f>CoursesBasis!M19</f>
        <v>2.1350000000000001E-2</v>
      </c>
      <c r="C19" s="73" t="e">
        <f t="shared" si="0"/>
        <v>#N/A</v>
      </c>
    </row>
    <row r="20" spans="1:3">
      <c r="A20" s="72" t="str">
        <f>CoursesBasis!$F20&amp;CoursesBasis!M$2</f>
        <v>LT1EL</v>
      </c>
      <c r="B20" s="73">
        <f>CoursesBasis!M20</f>
        <v>3.8184027777777782E-2</v>
      </c>
      <c r="C20" s="73" t="e">
        <f t="shared" si="0"/>
        <v>#N/A</v>
      </c>
    </row>
    <row r="21" spans="1:3">
      <c r="A21" s="72" t="str">
        <f>CoursesBasis!$F21&amp;CoursesBasis!M$2</f>
        <v>SEN1EL</v>
      </c>
      <c r="B21" s="73">
        <f>CoursesBasis!M21</f>
        <v>1.6712500000000002E-2</v>
      </c>
      <c r="C21" s="73" t="e">
        <f t="shared" si="0"/>
        <v>#N/A</v>
      </c>
    </row>
    <row r="22" spans="1:3">
      <c r="A22" s="72" t="str">
        <f>CoursesBasis!$F22&amp;CoursesBasis!M$2</f>
        <v>SEN2EL</v>
      </c>
      <c r="B22" s="73">
        <f>CoursesBasis!M22</f>
        <v>1.535625E-2</v>
      </c>
      <c r="C22" s="73" t="e">
        <f t="shared" si="0"/>
        <v>#N/A</v>
      </c>
    </row>
    <row r="23" spans="1:3">
      <c r="A23" s="72" t="str">
        <f>CoursesBasis!$F23&amp;CoursesBasis!M$2</f>
        <v>SEN3EL</v>
      </c>
      <c r="B23" s="73">
        <f>CoursesBasis!M23</f>
        <v>1.5225000000000004E-2</v>
      </c>
      <c r="C23" s="73" t="e">
        <f t="shared" si="0"/>
        <v>#N/A</v>
      </c>
    </row>
    <row r="24" spans="1:3">
      <c r="A24" s="72" t="str">
        <f>CoursesBasis!$F24&amp;CoursesBasis!M$2</f>
        <v>SEN4EL</v>
      </c>
      <c r="B24" s="73">
        <f>CoursesBasis!M24</f>
        <v>1.5990625000000001E-2</v>
      </c>
      <c r="C24" s="73" t="e">
        <f t="shared" si="0"/>
        <v>#N/A</v>
      </c>
    </row>
    <row r="25" spans="1:3">
      <c r="A25" s="72" t="str">
        <f>CoursesBasis!$F25&amp;CoursesBasis!M$2</f>
        <v>SEN5EL</v>
      </c>
      <c r="B25" s="73">
        <f>CoursesBasis!M25</f>
        <v>1.4940625000000001E-2</v>
      </c>
      <c r="C25" s="73" t="e">
        <f t="shared" si="0"/>
        <v>#N/A</v>
      </c>
    </row>
    <row r="26" spans="1:3">
      <c r="A26" s="72" t="str">
        <f>CoursesBasis!$F26&amp;CoursesBasis!M$2</f>
        <v>SDN1EL</v>
      </c>
      <c r="B26" s="73">
        <f>CoursesBasis!M26</f>
        <v>2.2093749999999999E-2</v>
      </c>
      <c r="C26" s="73">
        <f t="shared" si="0"/>
        <v>3.5486111111111114E-2</v>
      </c>
    </row>
    <row r="27" spans="1:3">
      <c r="A27" s="72" t="str">
        <f>CoursesBasis!$F27&amp;CoursesBasis!M$2</f>
        <v>SDN2EL</v>
      </c>
      <c r="B27" s="73">
        <f>CoursesBasis!M27</f>
        <v>2.6711805555555558E-2</v>
      </c>
      <c r="C27" s="73" t="e">
        <f t="shared" si="0"/>
        <v>#N/A</v>
      </c>
    </row>
    <row r="28" spans="1:3">
      <c r="A28" s="72" t="str">
        <f>CoursesBasis!$F28&amp;CoursesBasis!M$2</f>
        <v>SDN3EL</v>
      </c>
      <c r="B28" s="73">
        <f>CoursesBasis!M28</f>
        <v>2.7829861111111111E-2</v>
      </c>
      <c r="C28" s="73" t="e">
        <f t="shared" si="0"/>
        <v>#N/A</v>
      </c>
    </row>
    <row r="29" spans="1:3">
      <c r="A29" s="72" t="str">
        <f>CoursesBasis!$F29&amp;CoursesBasis!M$2</f>
        <v>LEN1EL</v>
      </c>
      <c r="B29" s="73">
        <f>CoursesBasis!M29</f>
        <v>3.7479166666666668E-2</v>
      </c>
      <c r="C29" s="73" t="e">
        <f t="shared" si="0"/>
        <v>#N/A</v>
      </c>
    </row>
    <row r="30" spans="1:3">
      <c r="A30" s="72" t="str">
        <f>CoursesBasis!$F30&amp;CoursesBasis!M$2</f>
        <v>LEN2EL</v>
      </c>
      <c r="B30" s="73">
        <f>CoursesBasis!M30</f>
        <v>3.5631944444444445E-2</v>
      </c>
      <c r="C30" s="73" t="e">
        <f t="shared" si="0"/>
        <v>#N/A</v>
      </c>
    </row>
    <row r="31" spans="1:3">
      <c r="A31" s="72" t="str">
        <f>CoursesBasis!$F31&amp;CoursesBasis!M$2</f>
        <v>LEN3EL</v>
      </c>
      <c r="B31" s="73">
        <f>CoursesBasis!M31</f>
        <v>3.9472222222222228E-2</v>
      </c>
      <c r="C31" s="73">
        <f t="shared" si="0"/>
        <v>4.612268518518519E-2</v>
      </c>
    </row>
    <row r="32" spans="1:3">
      <c r="A32" s="72" t="str">
        <f>CoursesBasis!$F32&amp;CoursesBasis!M$2</f>
        <v>LDN1EL</v>
      </c>
      <c r="B32" s="73">
        <f>CoursesBasis!M32</f>
        <v>5.4327777777777787E-2</v>
      </c>
      <c r="C32" s="73" t="e">
        <f t="shared" si="0"/>
        <v>#N/A</v>
      </c>
    </row>
    <row r="33" spans="1:3">
      <c r="A33" s="72" t="str">
        <f>CoursesBasis!$F33&amp;CoursesBasis!M$2</f>
        <v>LDN2EL</v>
      </c>
      <c r="B33" s="73">
        <f>CoursesBasis!M33</f>
        <v>5.1386805555555561E-2</v>
      </c>
      <c r="C33" s="73" t="e">
        <f t="shared" si="0"/>
        <v>#N/A</v>
      </c>
    </row>
    <row r="34" spans="1:3">
      <c r="A34" s="72" t="str">
        <f>CoursesBasis!$F34&amp;CoursesBasis!M$2</f>
        <v>LDN3EL</v>
      </c>
      <c r="B34" s="73">
        <f>CoursesBasis!M34</f>
        <v>5.2349305555555559E-2</v>
      </c>
      <c r="C34" s="73" t="e">
        <f t="shared" si="0"/>
        <v>#N/A</v>
      </c>
    </row>
    <row r="35" spans="1:3">
      <c r="A35" s="72" t="str">
        <f>CoursesBasis!$F35&amp;CoursesBasis!M$2</f>
        <v>FF1EL</v>
      </c>
      <c r="B35" s="73">
        <f>CoursesBasis!M35</f>
        <v>3.5413194444444449E-2</v>
      </c>
      <c r="C35" s="73" t="e">
        <f t="shared" si="0"/>
        <v>#N/A</v>
      </c>
    </row>
    <row r="36" spans="1:3">
      <c r="A36" s="72" t="str">
        <f>CoursesBasis!$F36&amp;CoursesBasis!M$2</f>
        <v>FF2EL</v>
      </c>
      <c r="B36" s="73">
        <f>CoursesBasis!M36</f>
        <v>3.2423611111111111E-2</v>
      </c>
      <c r="C36" s="73" t="e">
        <f t="shared" si="0"/>
        <v>#N/A</v>
      </c>
    </row>
    <row r="37" spans="1:3">
      <c r="A37" s="72" t="str">
        <f>CoursesBasis!$F37&amp;CoursesBasis!M$2</f>
        <v>FF3EL</v>
      </c>
      <c r="B37" s="73">
        <f>CoursesBasis!M37</f>
        <v>3.4708333333333334E-2</v>
      </c>
      <c r="C37" s="73" t="e">
        <f t="shared" si="0"/>
        <v>#N/A</v>
      </c>
    </row>
    <row r="38" spans="1:3">
      <c r="A38" s="72" t="str">
        <f>CoursesBasis!$F38&amp;CoursesBasis!M$2</f>
        <v>FF4EL</v>
      </c>
      <c r="B38" s="73">
        <f>CoursesBasis!M38</f>
        <v>2.4548611111111111E-2</v>
      </c>
      <c r="C38" s="73" t="e">
        <f t="shared" si="0"/>
        <v>#N/A</v>
      </c>
    </row>
    <row r="39" spans="1:3">
      <c r="A39" s="72" t="str">
        <f>CoursesBasis!$F39&amp;CoursesBasis!M$2</f>
        <v>FF5EL</v>
      </c>
      <c r="B39" s="73">
        <f>CoursesBasis!M39</f>
        <v>3.5145833333333334E-2</v>
      </c>
      <c r="C39" s="73">
        <f t="shared" si="0"/>
        <v>0</v>
      </c>
    </row>
    <row r="40" spans="1:3">
      <c r="A40" s="72" t="str">
        <f>CoursesBasis!$F40&amp;CoursesBasis!M$2</f>
        <v>FF6EL</v>
      </c>
      <c r="B40" s="73">
        <f>CoursesBasis!M40</f>
        <v>3.3590277777777781E-2</v>
      </c>
      <c r="C40" s="73" t="e">
        <f t="shared" si="0"/>
        <v>#N/A</v>
      </c>
    </row>
    <row r="41" spans="1:3">
      <c r="A41" s="72" t="str">
        <f>CoursesBasis!$F41&amp;CoursesBasis!M$2</f>
        <v>SEEL</v>
      </c>
      <c r="B41" s="73">
        <f>CoursesBasis!M41</f>
        <v>1.7314062500000001E-2</v>
      </c>
      <c r="C41" s="73" t="e">
        <f t="shared" si="0"/>
        <v>#N/A</v>
      </c>
    </row>
    <row r="42" spans="1:3">
      <c r="A42" s="72" t="str">
        <f>CoursesBasis!$F42&amp;CoursesBasis!M$2</f>
        <v>SDEL</v>
      </c>
      <c r="B42" s="73">
        <f>CoursesBasis!M42</f>
        <v>2.9993055555555554E-2</v>
      </c>
      <c r="C42" s="73" t="e">
        <f t="shared" si="0"/>
        <v>#N/A</v>
      </c>
    </row>
    <row r="43" spans="1:3">
      <c r="A43" s="72" t="str">
        <f>CoursesBasis!$F43&amp;CoursesBasis!M$2</f>
        <v>LEEL</v>
      </c>
      <c r="B43" s="73">
        <f>CoursesBasis!M43</f>
        <v>4.1179687500000006E-2</v>
      </c>
      <c r="C43" s="73" t="e">
        <f t="shared" si="0"/>
        <v>#N/A</v>
      </c>
    </row>
    <row r="44" spans="1:3">
      <c r="A44" s="72" t="str">
        <f>CoursesBasis!$F44&amp;CoursesBasis!M$2</f>
        <v>LDEL</v>
      </c>
      <c r="B44" s="73">
        <f>CoursesBasis!M44</f>
        <v>5.6758333333333327E-2</v>
      </c>
      <c r="C44" s="73" t="e">
        <f t="shared" si="0"/>
        <v>#N/A</v>
      </c>
    </row>
    <row r="45" spans="1:3">
      <c r="A45" s="72" t="str">
        <f>CoursesBasis!$F45&amp;CoursesBasis!M$2</f>
        <v>SENEL</v>
      </c>
      <c r="B45" s="73">
        <f>CoursesBasis!M45</f>
        <v>1.5644999999999999E-2</v>
      </c>
      <c r="C45" s="73" t="e">
        <f t="shared" si="0"/>
        <v>#N/A</v>
      </c>
    </row>
    <row r="46" spans="1:3">
      <c r="A46" s="72" t="str">
        <f>CoursesBasis!$F46&amp;CoursesBasis!M$2</f>
        <v>SDNEL</v>
      </c>
      <c r="B46" s="73">
        <f>CoursesBasis!M46</f>
        <v>2.5545138888888888E-2</v>
      </c>
      <c r="C46" s="73" t="e">
        <f t="shared" si="0"/>
        <v>#N/A</v>
      </c>
    </row>
    <row r="47" spans="1:3">
      <c r="A47" s="72" t="str">
        <f>CoursesBasis!$F47&amp;CoursesBasis!M$2</f>
        <v>LENEL</v>
      </c>
      <c r="B47" s="73">
        <f>CoursesBasis!M47</f>
        <v>3.7527777777777778E-2</v>
      </c>
      <c r="C47" s="73" t="e">
        <f t="shared" si="0"/>
        <v>#N/A</v>
      </c>
    </row>
    <row r="48" spans="1:3">
      <c r="A48" s="72" t="str">
        <f>CoursesBasis!$F48&amp;CoursesBasis!M$2</f>
        <v>LDNEL</v>
      </c>
      <c r="B48" s="73">
        <f>CoursesBasis!M48</f>
        <v>5.2687962962962971E-2</v>
      </c>
      <c r="C48" s="73" t="e">
        <f t="shared" si="0"/>
        <v>#N/A</v>
      </c>
    </row>
    <row r="49" spans="1:3">
      <c r="A49" s="5" t="str">
        <f>CoursesBasis!$F3&amp;CoursesBasis!N$2</f>
        <v>SF1BV</v>
      </c>
      <c r="B49" s="62">
        <f>CoursesBasis!$N3</f>
        <v>2.9806712962962962E-2</v>
      </c>
      <c r="C49" s="73" t="e">
        <f t="shared" si="0"/>
        <v>#N/A</v>
      </c>
    </row>
    <row r="50" spans="1:3">
      <c r="A50" s="5" t="str">
        <f>CoursesBasis!$F4&amp;CoursesBasis!N$2</f>
        <v>SE1BV</v>
      </c>
      <c r="B50" s="62">
        <f>CoursesBasis!$N4</f>
        <v>1.841328125E-2</v>
      </c>
      <c r="C50" s="73" t="e">
        <f t="shared" si="0"/>
        <v>#N/A</v>
      </c>
    </row>
    <row r="51" spans="1:3">
      <c r="A51" s="5" t="str">
        <f>CoursesBasis!$F5&amp;CoursesBasis!N$2</f>
        <v>SE2BV</v>
      </c>
      <c r="B51" s="62">
        <f>CoursesBasis!$N5</f>
        <v>1.9337500000000001E-2</v>
      </c>
      <c r="C51" s="73" t="e">
        <f t="shared" si="0"/>
        <v>#N/A</v>
      </c>
    </row>
    <row r="52" spans="1:3">
      <c r="A52" s="5" t="str">
        <f>CoursesBasis!$F6&amp;CoursesBasis!N$2</f>
        <v>SE3BV</v>
      </c>
      <c r="B52" s="62">
        <f>CoursesBasis!$N6</f>
        <v>1.7607552083333332E-2</v>
      </c>
      <c r="C52" s="73" t="e">
        <f t="shared" si="0"/>
        <v>#N/A</v>
      </c>
    </row>
    <row r="53" spans="1:3">
      <c r="A53" s="5" t="str">
        <f>CoursesBasis!$F7&amp;CoursesBasis!N$2</f>
        <v>SE4BV</v>
      </c>
      <c r="B53" s="62">
        <f>CoursesBasis!$N7</f>
        <v>1.9669270833333332E-2</v>
      </c>
      <c r="C53" s="73" t="e">
        <f t="shared" si="0"/>
        <v>#N/A</v>
      </c>
    </row>
    <row r="54" spans="1:3">
      <c r="A54" s="5" t="str">
        <f>CoursesBasis!$F8&amp;CoursesBasis!N$2</f>
        <v>SD1BV</v>
      </c>
      <c r="B54" s="62">
        <f>CoursesBasis!$N8</f>
        <v>3.1570891203703703E-2</v>
      </c>
      <c r="C54" s="73" t="e">
        <f t="shared" si="0"/>
        <v>#N/A</v>
      </c>
    </row>
    <row r="55" spans="1:3">
      <c r="A55" s="5" t="str">
        <f>CoursesBasis!$F9&amp;CoursesBasis!N$2</f>
        <v>SD2BV</v>
      </c>
      <c r="B55" s="62">
        <f>CoursesBasis!$N9</f>
        <v>3.4309317129629625E-2</v>
      </c>
      <c r="C55" s="73" t="e">
        <f t="shared" si="0"/>
        <v>#N/A</v>
      </c>
    </row>
    <row r="56" spans="1:3">
      <c r="A56" s="5" t="str">
        <f>CoursesBasis!$F10&amp;CoursesBasis!N$2</f>
        <v>SD3BV</v>
      </c>
      <c r="B56" s="62">
        <f>CoursesBasis!$N10</f>
        <v>2.9964699074074074E-2</v>
      </c>
      <c r="C56" s="73">
        <f t="shared" si="0"/>
        <v>3.096064814814815E-2</v>
      </c>
    </row>
    <row r="57" spans="1:3">
      <c r="A57" s="5" t="str">
        <f>CoursesBasis!$F11&amp;CoursesBasis!N$2</f>
        <v>SD4BV</v>
      </c>
      <c r="B57" s="62">
        <f>CoursesBasis!$N11</f>
        <v>3.4125000000000003E-2</v>
      </c>
      <c r="C57" s="73" t="e">
        <f t="shared" si="0"/>
        <v>#N/A</v>
      </c>
    </row>
    <row r="58" spans="1:3">
      <c r="A58" s="5" t="str">
        <f>CoursesBasis!$F12&amp;CoursesBasis!N$2</f>
        <v>LE1BV</v>
      </c>
      <c r="B58" s="62">
        <f>CoursesBasis!$N12</f>
        <v>4.3604166666666659E-2</v>
      </c>
      <c r="C58" s="73" t="e">
        <f t="shared" si="0"/>
        <v>#N/A</v>
      </c>
    </row>
    <row r="59" spans="1:3">
      <c r="A59" s="5" t="str">
        <f>CoursesBasis!$F13&amp;CoursesBasis!N$2</f>
        <v>LE2BV</v>
      </c>
      <c r="B59" s="62">
        <f>CoursesBasis!$N13</f>
        <v>4.3024884259259259E-2</v>
      </c>
      <c r="C59" s="73">
        <f t="shared" si="0"/>
        <v>4.1388888888888892E-2</v>
      </c>
    </row>
    <row r="60" spans="1:3">
      <c r="A60" s="5" t="str">
        <f>CoursesBasis!$F14&amp;CoursesBasis!N$2</f>
        <v>LE3BV</v>
      </c>
      <c r="B60" s="62">
        <f>CoursesBasis!$N14</f>
        <v>4.3946469907407408E-2</v>
      </c>
      <c r="C60" s="73" t="e">
        <f t="shared" si="0"/>
        <v>#N/A</v>
      </c>
    </row>
    <row r="61" spans="1:3">
      <c r="A61" s="5" t="str">
        <f>CoursesBasis!$F15&amp;CoursesBasis!N$2</f>
        <v>LE4BV</v>
      </c>
      <c r="B61" s="62">
        <f>CoursesBasis!$N15</f>
        <v>4.7869791666666661E-2</v>
      </c>
      <c r="C61" s="73">
        <f t="shared" si="0"/>
        <v>4.4930555555555557E-2</v>
      </c>
    </row>
    <row r="62" spans="1:3">
      <c r="A62" s="5" t="str">
        <f>CoursesBasis!$F16&amp;CoursesBasis!N$2</f>
        <v>LD1BV</v>
      </c>
      <c r="B62" s="62">
        <f>CoursesBasis!$N16</f>
        <v>6.3312934027777767E-2</v>
      </c>
      <c r="C62" s="73" t="e">
        <f t="shared" si="0"/>
        <v>#N/A</v>
      </c>
    </row>
    <row r="63" spans="1:3">
      <c r="A63" s="5" t="str">
        <f>CoursesBasis!$F17&amp;CoursesBasis!N$2</f>
        <v>LD2BV</v>
      </c>
      <c r="B63" s="62">
        <f>CoursesBasis!$N17</f>
        <v>5.9801692708333333E-2</v>
      </c>
      <c r="C63" s="73" t="e">
        <f t="shared" si="0"/>
        <v>#N/A</v>
      </c>
    </row>
    <row r="64" spans="1:3">
      <c r="A64" s="5" t="str">
        <f>CoursesBasis!$F18&amp;CoursesBasis!N$2</f>
        <v>LD3BV</v>
      </c>
      <c r="B64" s="62">
        <f>CoursesBasis!$N18</f>
        <v>6.134995659722222E-2</v>
      </c>
      <c r="C64" s="73">
        <f t="shared" si="0"/>
        <v>0</v>
      </c>
    </row>
    <row r="65" spans="1:3">
      <c r="A65" s="5" t="str">
        <f>CoursesBasis!$F19&amp;CoursesBasis!N$2</f>
        <v>ST1BV</v>
      </c>
      <c r="B65" s="62">
        <f>CoursesBasis!$N19</f>
        <v>2.3129166666666666E-2</v>
      </c>
      <c r="C65" s="73" t="e">
        <f t="shared" si="0"/>
        <v>#N/A</v>
      </c>
    </row>
    <row r="66" spans="1:3">
      <c r="A66" s="5" t="str">
        <f>CoursesBasis!$F20&amp;CoursesBasis!N$2</f>
        <v>LT1BV</v>
      </c>
      <c r="B66" s="62">
        <f>CoursesBasis!$N20</f>
        <v>4.1366030092592591E-2</v>
      </c>
      <c r="C66" s="73" t="e">
        <f t="shared" si="0"/>
        <v>#N/A</v>
      </c>
    </row>
    <row r="67" spans="1:3">
      <c r="A67" s="5" t="str">
        <f>CoursesBasis!$F21&amp;CoursesBasis!N$2</f>
        <v>SEN1BV</v>
      </c>
      <c r="B67" s="62">
        <f>CoursesBasis!$N21</f>
        <v>1.8105208333333334E-2</v>
      </c>
      <c r="C67" s="73" t="e">
        <f t="shared" ref="C67:C130" si="1">VLOOKUP(A67,BahnLaufzeiten,14,FALSE)</f>
        <v>#N/A</v>
      </c>
    </row>
    <row r="68" spans="1:3">
      <c r="A68" s="5" t="str">
        <f>CoursesBasis!$F22&amp;CoursesBasis!N$2</f>
        <v>SEN2BV</v>
      </c>
      <c r="B68" s="62">
        <f>CoursesBasis!$N22</f>
        <v>1.66359375E-2</v>
      </c>
      <c r="C68" s="73" t="e">
        <f t="shared" si="1"/>
        <v>#N/A</v>
      </c>
    </row>
    <row r="69" spans="1:3">
      <c r="A69" s="5" t="str">
        <f>CoursesBasis!$F23&amp;CoursesBasis!N$2</f>
        <v>SEN3BV</v>
      </c>
      <c r="B69" s="62">
        <f>CoursesBasis!$N23</f>
        <v>1.6493750000000001E-2</v>
      </c>
      <c r="C69" s="73" t="e">
        <f t="shared" si="1"/>
        <v>#N/A</v>
      </c>
    </row>
    <row r="70" spans="1:3">
      <c r="A70" s="5" t="str">
        <f>CoursesBasis!$F24&amp;CoursesBasis!N$2</f>
        <v>SEN4BV</v>
      </c>
      <c r="B70" s="62">
        <f>CoursesBasis!$N24</f>
        <v>1.7323177083333335E-2</v>
      </c>
      <c r="C70" s="73" t="e">
        <f t="shared" si="1"/>
        <v>#N/A</v>
      </c>
    </row>
    <row r="71" spans="1:3">
      <c r="A71" s="5" t="str">
        <f>CoursesBasis!$F25&amp;CoursesBasis!N$2</f>
        <v>SEN5BV</v>
      </c>
      <c r="B71" s="62">
        <f>CoursesBasis!$N25</f>
        <v>1.6185677083333336E-2</v>
      </c>
      <c r="C71" s="73" t="e">
        <f t="shared" si="1"/>
        <v>#N/A</v>
      </c>
    </row>
    <row r="72" spans="1:3">
      <c r="A72" s="5" t="str">
        <f>CoursesBasis!$F26&amp;CoursesBasis!N$2</f>
        <v>SDN1BV</v>
      </c>
      <c r="B72" s="62">
        <f>CoursesBasis!$N26</f>
        <v>2.3934895833333331E-2</v>
      </c>
      <c r="C72" s="73" t="e">
        <f t="shared" si="1"/>
        <v>#N/A</v>
      </c>
    </row>
    <row r="73" spans="1:3">
      <c r="A73" s="5" t="str">
        <f>CoursesBasis!$F27&amp;CoursesBasis!N$2</f>
        <v>SDN2BV</v>
      </c>
      <c r="B73" s="62">
        <f>CoursesBasis!$N27</f>
        <v>2.8937789351851852E-2</v>
      </c>
      <c r="C73" s="73">
        <f t="shared" si="1"/>
        <v>3.2569444444444443E-2</v>
      </c>
    </row>
    <row r="74" spans="1:3">
      <c r="A74" s="5" t="str">
        <f>CoursesBasis!$F28&amp;CoursesBasis!N$2</f>
        <v>SDN3BV</v>
      </c>
      <c r="B74" s="62">
        <f>CoursesBasis!$N28</f>
        <v>3.01490162037037E-2</v>
      </c>
      <c r="C74" s="73" t="e">
        <f t="shared" si="1"/>
        <v>#N/A</v>
      </c>
    </row>
    <row r="75" spans="1:3">
      <c r="A75" s="5" t="str">
        <f>CoursesBasis!$F29&amp;CoursesBasis!N$2</f>
        <v>LEN1BV</v>
      </c>
      <c r="B75" s="62">
        <f>CoursesBasis!$N29</f>
        <v>4.0602430555555555E-2</v>
      </c>
      <c r="C75" s="73" t="e">
        <f t="shared" si="1"/>
        <v>#N/A</v>
      </c>
    </row>
    <row r="76" spans="1:3">
      <c r="A76" s="5" t="str">
        <f>CoursesBasis!$F30&amp;CoursesBasis!N$2</f>
        <v>LEN2BV</v>
      </c>
      <c r="B76" s="62">
        <f>CoursesBasis!$N30</f>
        <v>3.8601273148148145E-2</v>
      </c>
      <c r="C76" s="73">
        <f t="shared" si="1"/>
        <v>5.1747685185185188E-2</v>
      </c>
    </row>
    <row r="77" spans="1:3">
      <c r="A77" s="5" t="str">
        <f>CoursesBasis!$F31&amp;CoursesBasis!N$2</f>
        <v>LEN3BV</v>
      </c>
      <c r="B77" s="62">
        <f>CoursesBasis!$N31</f>
        <v>4.2761574074074077E-2</v>
      </c>
      <c r="C77" s="73" t="e">
        <f t="shared" si="1"/>
        <v>#N/A</v>
      </c>
    </row>
    <row r="78" spans="1:3">
      <c r="A78" s="5" t="str">
        <f>CoursesBasis!$F32&amp;CoursesBasis!N$2</f>
        <v>LDN1BV</v>
      </c>
      <c r="B78" s="62">
        <f>CoursesBasis!$N32</f>
        <v>5.8855092592592598E-2</v>
      </c>
      <c r="C78" s="73" t="e">
        <f t="shared" si="1"/>
        <v>#N/A</v>
      </c>
    </row>
    <row r="79" spans="1:3">
      <c r="A79" s="5" t="str">
        <f>CoursesBasis!$F33&amp;CoursesBasis!N$2</f>
        <v>LDN2BV</v>
      </c>
      <c r="B79" s="62">
        <f>CoursesBasis!$N33</f>
        <v>5.566903935185185E-2</v>
      </c>
      <c r="C79" s="73" t="e">
        <f t="shared" si="1"/>
        <v>#N/A</v>
      </c>
    </row>
    <row r="80" spans="1:3">
      <c r="A80" s="5" t="str">
        <f>CoursesBasis!$F34&amp;CoursesBasis!N$2</f>
        <v>LDN3BV</v>
      </c>
      <c r="B80" s="62">
        <f>CoursesBasis!$N34</f>
        <v>5.6711747685185186E-2</v>
      </c>
      <c r="C80" s="73" t="e">
        <f t="shared" si="1"/>
        <v>#N/A</v>
      </c>
    </row>
    <row r="81" spans="1:3">
      <c r="A81" s="5" t="str">
        <f>CoursesBasis!$F35&amp;CoursesBasis!N$2</f>
        <v>FF1BV</v>
      </c>
      <c r="B81" s="62">
        <f>CoursesBasis!$N35</f>
        <v>3.836429398148148E-2</v>
      </c>
      <c r="C81" s="73" t="e">
        <f t="shared" si="1"/>
        <v>#N/A</v>
      </c>
    </row>
    <row r="82" spans="1:3">
      <c r="A82" s="5" t="str">
        <f>CoursesBasis!$F36&amp;CoursesBasis!N$2</f>
        <v>FF2BV</v>
      </c>
      <c r="B82" s="62">
        <f>CoursesBasis!$N36</f>
        <v>3.5125578703703704E-2</v>
      </c>
      <c r="C82" s="73" t="e">
        <f t="shared" si="1"/>
        <v>#N/A</v>
      </c>
    </row>
    <row r="83" spans="1:3">
      <c r="A83" s="5" t="str">
        <f>CoursesBasis!$F37&amp;CoursesBasis!N$2</f>
        <v>FF3BV</v>
      </c>
      <c r="B83" s="62">
        <f>CoursesBasis!$N37</f>
        <v>3.7600694444444444E-2</v>
      </c>
      <c r="C83" s="73" t="e">
        <f t="shared" si="1"/>
        <v>#N/A</v>
      </c>
    </row>
    <row r="84" spans="1:3">
      <c r="A84" s="5" t="str">
        <f>CoursesBasis!$F38&amp;CoursesBasis!N$2</f>
        <v>FF4BV</v>
      </c>
      <c r="B84" s="62">
        <f>CoursesBasis!$N38</f>
        <v>2.6594328703703703E-2</v>
      </c>
      <c r="C84" s="73" t="e">
        <f t="shared" si="1"/>
        <v>#N/A</v>
      </c>
    </row>
    <row r="85" spans="1:3">
      <c r="A85" s="5" t="str">
        <f>CoursesBasis!$F39&amp;CoursesBasis!N$2</f>
        <v>FF5BV</v>
      </c>
      <c r="B85" s="62">
        <f>CoursesBasis!$N39</f>
        <v>3.8074652777777773E-2</v>
      </c>
      <c r="C85" s="73" t="e">
        <f t="shared" si="1"/>
        <v>#N/A</v>
      </c>
    </row>
    <row r="86" spans="1:3">
      <c r="A86" s="5" t="str">
        <f>CoursesBasis!$F40&amp;CoursesBasis!N$2</f>
        <v>FF6BV</v>
      </c>
      <c r="B86" s="62">
        <f>CoursesBasis!$N40</f>
        <v>3.6389467592592595E-2</v>
      </c>
      <c r="C86" s="73">
        <f t="shared" si="1"/>
        <v>0</v>
      </c>
    </row>
    <row r="87" spans="1:3">
      <c r="A87" s="5" t="str">
        <f>CoursesBasis!$F41&amp;CoursesBasis!N$2</f>
        <v>SEBV</v>
      </c>
      <c r="B87" s="62">
        <f>CoursesBasis!$N41</f>
        <v>1.8756901041666666E-2</v>
      </c>
      <c r="C87" s="73" t="e">
        <f t="shared" si="1"/>
        <v>#N/A</v>
      </c>
    </row>
    <row r="88" spans="1:3">
      <c r="A88" s="5" t="str">
        <f>CoursesBasis!$F42&amp;CoursesBasis!N$2</f>
        <v>SDBV</v>
      </c>
      <c r="B88" s="62">
        <f>CoursesBasis!$N42</f>
        <v>3.2492476851851852E-2</v>
      </c>
      <c r="C88" s="73" t="e">
        <f t="shared" si="1"/>
        <v>#N/A</v>
      </c>
    </row>
    <row r="89" spans="1:3">
      <c r="A89" s="5" t="str">
        <f>CoursesBasis!$F43&amp;CoursesBasis!N$2</f>
        <v>LEBV</v>
      </c>
      <c r="B89" s="62">
        <f>CoursesBasis!$N43</f>
        <v>4.4611328125000002E-2</v>
      </c>
      <c r="C89" s="73" t="e">
        <f t="shared" si="1"/>
        <v>#N/A</v>
      </c>
    </row>
    <row r="90" spans="1:3">
      <c r="A90" s="5" t="str">
        <f>CoursesBasis!$F44&amp;CoursesBasis!N$2</f>
        <v>LDBV</v>
      </c>
      <c r="B90" s="62">
        <f>CoursesBasis!$N44</f>
        <v>6.1488194444444436E-2</v>
      </c>
      <c r="C90" s="73" t="e">
        <f t="shared" si="1"/>
        <v>#N/A</v>
      </c>
    </row>
    <row r="91" spans="1:3">
      <c r="A91" s="5" t="str">
        <f>CoursesBasis!$F45&amp;CoursesBasis!N$2</f>
        <v>SENBV</v>
      </c>
      <c r="B91" s="62">
        <f>CoursesBasis!$N45</f>
        <v>1.6948749999999999E-2</v>
      </c>
      <c r="C91" s="73" t="e">
        <f t="shared" si="1"/>
        <v>#N/A</v>
      </c>
    </row>
    <row r="92" spans="1:3">
      <c r="A92" s="5" t="str">
        <f>CoursesBasis!$F46&amp;CoursesBasis!N$2</f>
        <v>SDNBV</v>
      </c>
      <c r="B92" s="62">
        <f>CoursesBasis!$N46</f>
        <v>2.7673900462962961E-2</v>
      </c>
      <c r="C92" s="73" t="e">
        <f t="shared" si="1"/>
        <v>#N/A</v>
      </c>
    </row>
    <row r="93" spans="1:3">
      <c r="A93" s="5" t="str">
        <f>CoursesBasis!$F47&amp;CoursesBasis!N$2</f>
        <v>LENBV</v>
      </c>
      <c r="B93" s="62">
        <f>CoursesBasis!$N47</f>
        <v>4.065509259259259E-2</v>
      </c>
      <c r="C93" s="73" t="e">
        <f t="shared" si="1"/>
        <v>#N/A</v>
      </c>
    </row>
    <row r="94" spans="1:3">
      <c r="A94" s="5" t="str">
        <f>CoursesBasis!$F48&amp;CoursesBasis!N$2</f>
        <v>LDNBV</v>
      </c>
      <c r="B94" s="62">
        <f>CoursesBasis!$N48</f>
        <v>5.707862654320988E-2</v>
      </c>
      <c r="C94" s="73" t="e">
        <f t="shared" si="1"/>
        <v>#N/A</v>
      </c>
    </row>
    <row r="95" spans="1:3">
      <c r="A95" s="72" t="str">
        <f>CoursesBasis!$F3&amp;CoursesBasis!O$2</f>
        <v>SF1LG</v>
      </c>
      <c r="B95" s="73">
        <f>CoursesBasis!$O3</f>
        <v>3.0461805555555561E-2</v>
      </c>
      <c r="C95" s="73" t="e">
        <f t="shared" si="1"/>
        <v>#N/A</v>
      </c>
    </row>
    <row r="96" spans="1:3">
      <c r="A96" s="72" t="str">
        <f>CoursesBasis!$F4&amp;CoursesBasis!O$2</f>
        <v>SE1LG</v>
      </c>
      <c r="B96" s="73">
        <f>CoursesBasis!$O4</f>
        <v>1.881796875E-2</v>
      </c>
      <c r="C96" s="73" t="e">
        <f t="shared" si="1"/>
        <v>#N/A</v>
      </c>
    </row>
    <row r="97" spans="1:3">
      <c r="A97" s="72" t="str">
        <f>CoursesBasis!$F5&amp;CoursesBasis!O$2</f>
        <v>SE2LG</v>
      </c>
      <c r="B97" s="73">
        <f>CoursesBasis!$O5</f>
        <v>1.9762500000000002E-2</v>
      </c>
      <c r="C97" s="73" t="e">
        <f t="shared" si="1"/>
        <v>#N/A</v>
      </c>
    </row>
    <row r="98" spans="1:3">
      <c r="A98" s="72" t="str">
        <f>CoursesBasis!$F6&amp;CoursesBasis!O$2</f>
        <v>SE3LG</v>
      </c>
      <c r="B98" s="73">
        <f>CoursesBasis!$O6</f>
        <v>1.7994531250000001E-2</v>
      </c>
      <c r="C98" s="73" t="e">
        <f t="shared" si="1"/>
        <v>#N/A</v>
      </c>
    </row>
    <row r="99" spans="1:3">
      <c r="A99" s="72" t="str">
        <f>CoursesBasis!$F7&amp;CoursesBasis!O$2</f>
        <v>SE4LG</v>
      </c>
      <c r="B99" s="73">
        <f>CoursesBasis!$O7</f>
        <v>2.01015625E-2</v>
      </c>
      <c r="C99" s="73" t="e">
        <f t="shared" si="1"/>
        <v>#N/A</v>
      </c>
    </row>
    <row r="100" spans="1:3">
      <c r="A100" s="72" t="str">
        <f>CoursesBasis!$F8&amp;CoursesBasis!O$2</f>
        <v>SD1LG</v>
      </c>
      <c r="B100" s="73">
        <f>CoursesBasis!$O8</f>
        <v>3.2264756944444452E-2</v>
      </c>
      <c r="C100" s="73" t="e">
        <f t="shared" si="1"/>
        <v>#N/A</v>
      </c>
    </row>
    <row r="101" spans="1:3">
      <c r="A101" s="72" t="str">
        <f>CoursesBasis!$F9&amp;CoursesBasis!O$2</f>
        <v>SD2LG</v>
      </c>
      <c r="B101" s="73">
        <f>CoursesBasis!$O9</f>
        <v>3.5063368055555558E-2</v>
      </c>
      <c r="C101" s="73" t="e">
        <f t="shared" si="1"/>
        <v>#N/A</v>
      </c>
    </row>
    <row r="102" spans="1:3">
      <c r="A102" s="72" t="str">
        <f>CoursesBasis!$F10&amp;CoursesBasis!O$2</f>
        <v>SD3LG</v>
      </c>
      <c r="B102" s="73">
        <f>CoursesBasis!$O10</f>
        <v>3.0623263888888894E-2</v>
      </c>
      <c r="C102" s="73" t="e">
        <f t="shared" si="1"/>
        <v>#N/A</v>
      </c>
    </row>
    <row r="103" spans="1:3">
      <c r="A103" s="72" t="str">
        <f>CoursesBasis!$F11&amp;CoursesBasis!O$2</f>
        <v>SD4LG</v>
      </c>
      <c r="B103" s="73">
        <f>CoursesBasis!$O11</f>
        <v>3.487500000000001E-2</v>
      </c>
      <c r="C103" s="73">
        <f t="shared" si="1"/>
        <v>3.4178240740740738E-2</v>
      </c>
    </row>
    <row r="104" spans="1:3">
      <c r="A104" s="72" t="str">
        <f>CoursesBasis!$F12&amp;CoursesBasis!O$2</f>
        <v>LE1LG</v>
      </c>
      <c r="B104" s="73">
        <f>CoursesBasis!$O12</f>
        <v>4.4562500000000005E-2</v>
      </c>
      <c r="C104" s="73">
        <f t="shared" si="1"/>
        <v>3.9340277777777773E-2</v>
      </c>
    </row>
    <row r="105" spans="1:3">
      <c r="A105" s="72" t="str">
        <f>CoursesBasis!$F13&amp;CoursesBasis!O$2</f>
        <v>LE2LG</v>
      </c>
      <c r="B105" s="73">
        <f>CoursesBasis!$O13</f>
        <v>4.3970486111111116E-2</v>
      </c>
      <c r="C105" s="73" t="e">
        <f t="shared" si="1"/>
        <v>#N/A</v>
      </c>
    </row>
    <row r="106" spans="1:3">
      <c r="A106" s="72" t="str">
        <f>CoursesBasis!$F14&amp;CoursesBasis!O$2</f>
        <v>LE3LG</v>
      </c>
      <c r="B106" s="73">
        <f>CoursesBasis!$O14</f>
        <v>4.4912326388888903E-2</v>
      </c>
      <c r="C106" s="73" t="e">
        <f t="shared" si="1"/>
        <v>#N/A</v>
      </c>
    </row>
    <row r="107" spans="1:3">
      <c r="A107" s="72" t="str">
        <f>CoursesBasis!$F15&amp;CoursesBasis!O$2</f>
        <v>LE4LG</v>
      </c>
      <c r="B107" s="73">
        <f>CoursesBasis!$O15</f>
        <v>4.8921875000000004E-2</v>
      </c>
      <c r="C107" s="73" t="e">
        <f t="shared" si="1"/>
        <v>#N/A</v>
      </c>
    </row>
    <row r="108" spans="1:3">
      <c r="A108" s="72" t="str">
        <f>CoursesBasis!$F16&amp;CoursesBasis!O$2</f>
        <v>LD1LG</v>
      </c>
      <c r="B108" s="73">
        <f>CoursesBasis!$O16</f>
        <v>6.4704427083333349E-2</v>
      </c>
      <c r="C108" s="73" t="e">
        <f t="shared" si="1"/>
        <v>#N/A</v>
      </c>
    </row>
    <row r="109" spans="1:3">
      <c r="A109" s="72" t="str">
        <f>CoursesBasis!$F17&amp;CoursesBasis!O$2</f>
        <v>LD2LG</v>
      </c>
      <c r="B109" s="73">
        <f>CoursesBasis!$O17</f>
        <v>6.111601562500002E-2</v>
      </c>
      <c r="C109" s="73" t="e">
        <f t="shared" si="1"/>
        <v>#N/A</v>
      </c>
    </row>
    <row r="110" spans="1:3">
      <c r="A110" s="72" t="str">
        <f>CoursesBasis!$F18&amp;CoursesBasis!O$2</f>
        <v>LD3LG</v>
      </c>
      <c r="B110" s="73">
        <f>CoursesBasis!$O18</f>
        <v>6.2698307291666686E-2</v>
      </c>
      <c r="C110" s="73" t="e">
        <f t="shared" si="1"/>
        <v>#N/A</v>
      </c>
    </row>
    <row r="111" spans="1:3">
      <c r="A111" s="72" t="str">
        <f>CoursesBasis!$F19&amp;CoursesBasis!O$2</f>
        <v>ST1LG</v>
      </c>
      <c r="B111" s="73">
        <f>CoursesBasis!$O19</f>
        <v>2.3637500000000002E-2</v>
      </c>
      <c r="C111" s="73" t="e">
        <f t="shared" si="1"/>
        <v>#N/A</v>
      </c>
    </row>
    <row r="112" spans="1:3">
      <c r="A112" s="72" t="str">
        <f>CoursesBasis!$F20&amp;CoursesBasis!O$2</f>
        <v>LT1LG</v>
      </c>
      <c r="B112" s="73">
        <f>CoursesBasis!$O20</f>
        <v>4.2275173611111119E-2</v>
      </c>
      <c r="C112" s="73">
        <f t="shared" si="1"/>
        <v>4.2187499999999996E-2</v>
      </c>
    </row>
    <row r="113" spans="1:3">
      <c r="A113" s="72" t="str">
        <f>CoursesBasis!$F21&amp;CoursesBasis!O$2</f>
        <v>SEN1LG</v>
      </c>
      <c r="B113" s="73">
        <f>CoursesBasis!$O21</f>
        <v>1.8503125000000002E-2</v>
      </c>
      <c r="C113" s="73" t="e">
        <f t="shared" si="1"/>
        <v>#N/A</v>
      </c>
    </row>
    <row r="114" spans="1:3">
      <c r="A114" s="72" t="str">
        <f>CoursesBasis!$F22&amp;CoursesBasis!O$2</f>
        <v>SEN2LG</v>
      </c>
      <c r="B114" s="73">
        <f>CoursesBasis!$O22</f>
        <v>1.7001562500000001E-2</v>
      </c>
      <c r="C114" s="73">
        <f t="shared" si="1"/>
        <v>2.1342592592592594E-2</v>
      </c>
    </row>
    <row r="115" spans="1:3">
      <c r="A115" s="72" t="str">
        <f>CoursesBasis!$F23&amp;CoursesBasis!O$2</f>
        <v>SEN3LG</v>
      </c>
      <c r="B115" s="73">
        <f>CoursesBasis!$O23</f>
        <v>1.6856250000000007E-2</v>
      </c>
      <c r="C115" s="73" t="e">
        <f t="shared" si="1"/>
        <v>#N/A</v>
      </c>
    </row>
    <row r="116" spans="1:3">
      <c r="A116" s="72" t="str">
        <f>CoursesBasis!$F24&amp;CoursesBasis!O$2</f>
        <v>SEN4LG</v>
      </c>
      <c r="B116" s="73">
        <f>CoursesBasis!$O24</f>
        <v>1.7703906250000005E-2</v>
      </c>
      <c r="C116" s="73" t="e">
        <f t="shared" si="1"/>
        <v>#N/A</v>
      </c>
    </row>
    <row r="117" spans="1:3">
      <c r="A117" s="72" t="str">
        <f>CoursesBasis!$F25&amp;CoursesBasis!O$2</f>
        <v>SEN5LG</v>
      </c>
      <c r="B117" s="73">
        <f>CoursesBasis!$O25</f>
        <v>1.6541406250000001E-2</v>
      </c>
      <c r="C117" s="73" t="e">
        <f t="shared" si="1"/>
        <v>#N/A</v>
      </c>
    </row>
    <row r="118" spans="1:3">
      <c r="A118" s="72" t="str">
        <f>CoursesBasis!$F26&amp;CoursesBasis!O$2</f>
        <v>SDN1LG</v>
      </c>
      <c r="B118" s="73">
        <f>CoursesBasis!$O26</f>
        <v>2.4460937500000002E-2</v>
      </c>
      <c r="C118" s="73" t="e">
        <f t="shared" si="1"/>
        <v>#N/A</v>
      </c>
    </row>
    <row r="119" spans="1:3">
      <c r="A119" s="72" t="str">
        <f>CoursesBasis!$F27&amp;CoursesBasis!O$2</f>
        <v>SDN2LG</v>
      </c>
      <c r="B119" s="73">
        <f>CoursesBasis!$O27</f>
        <v>2.9573784722222229E-2</v>
      </c>
      <c r="C119" s="73" t="e">
        <f t="shared" si="1"/>
        <v>#N/A</v>
      </c>
    </row>
    <row r="120" spans="1:3">
      <c r="A120" s="72" t="str">
        <f>CoursesBasis!$F28&amp;CoursesBasis!O$2</f>
        <v>SDN3LG</v>
      </c>
      <c r="B120" s="73">
        <f>CoursesBasis!$O28</f>
        <v>3.0811631944444449E-2</v>
      </c>
      <c r="C120" s="73" t="e">
        <f t="shared" si="1"/>
        <v>#N/A</v>
      </c>
    </row>
    <row r="121" spans="1:3">
      <c r="A121" s="72" t="str">
        <f>CoursesBasis!$F29&amp;CoursesBasis!O$2</f>
        <v>LEN1LG</v>
      </c>
      <c r="B121" s="73">
        <f>CoursesBasis!$O29</f>
        <v>4.1494791666666669E-2</v>
      </c>
      <c r="C121" s="73" t="e">
        <f t="shared" si="1"/>
        <v>#N/A</v>
      </c>
    </row>
    <row r="122" spans="1:3">
      <c r="A122" s="72" t="str">
        <f>CoursesBasis!$F30&amp;CoursesBasis!O$2</f>
        <v>LEN2LG</v>
      </c>
      <c r="B122" s="73">
        <f>CoursesBasis!$O30</f>
        <v>3.9449652777777781E-2</v>
      </c>
      <c r="C122" s="73" t="e">
        <f t="shared" si="1"/>
        <v>#N/A</v>
      </c>
    </row>
    <row r="123" spans="1:3">
      <c r="A123" s="72" t="str">
        <f>CoursesBasis!$F31&amp;CoursesBasis!O$2</f>
        <v>LEN3LG</v>
      </c>
      <c r="B123" s="73">
        <f>CoursesBasis!$O31</f>
        <v>4.3701388888888901E-2</v>
      </c>
      <c r="C123" s="73" t="e">
        <f t="shared" si="1"/>
        <v>#N/A</v>
      </c>
    </row>
    <row r="124" spans="1:3">
      <c r="A124" s="72" t="str">
        <f>CoursesBasis!$F32&amp;CoursesBasis!O$2</f>
        <v>LDN1LG</v>
      </c>
      <c r="B124" s="73">
        <f>CoursesBasis!$O32</f>
        <v>6.0148611111111132E-2</v>
      </c>
      <c r="C124" s="73" t="e">
        <f t="shared" si="1"/>
        <v>#N/A</v>
      </c>
    </row>
    <row r="125" spans="1:3">
      <c r="A125" s="72" t="str">
        <f>CoursesBasis!$F33&amp;CoursesBasis!O$2</f>
        <v>LDN2LG</v>
      </c>
      <c r="B125" s="73">
        <f>CoursesBasis!$O33</f>
        <v>5.6892534722222235E-2</v>
      </c>
      <c r="C125" s="73">
        <f t="shared" si="1"/>
        <v>6.21875E-2</v>
      </c>
    </row>
    <row r="126" spans="1:3">
      <c r="A126" s="72" t="str">
        <f>CoursesBasis!$F34&amp;CoursesBasis!O$2</f>
        <v>LDN3LG</v>
      </c>
      <c r="B126" s="73">
        <f>CoursesBasis!$O34</f>
        <v>5.7958159722222236E-2</v>
      </c>
      <c r="C126" s="73" t="e">
        <f t="shared" si="1"/>
        <v>#N/A</v>
      </c>
    </row>
    <row r="127" spans="1:3">
      <c r="A127" s="72" t="str">
        <f>CoursesBasis!$F35&amp;CoursesBasis!O$2</f>
        <v>FF1LG</v>
      </c>
      <c r="B127" s="73">
        <f>CoursesBasis!$O35</f>
        <v>3.9207465277777784E-2</v>
      </c>
      <c r="C127" s="73">
        <f t="shared" si="1"/>
        <v>0</v>
      </c>
    </row>
    <row r="128" spans="1:3">
      <c r="A128" s="72" t="str">
        <f>CoursesBasis!$F36&amp;CoursesBasis!O$2</f>
        <v>FF2LG</v>
      </c>
      <c r="B128" s="73">
        <f>CoursesBasis!$O36</f>
        <v>3.5897569444444451E-2</v>
      </c>
      <c r="C128" s="73" t="e">
        <f t="shared" si="1"/>
        <v>#N/A</v>
      </c>
    </row>
    <row r="129" spans="1:3">
      <c r="A129" s="72" t="str">
        <f>CoursesBasis!$F37&amp;CoursesBasis!O$2</f>
        <v>FF3LG</v>
      </c>
      <c r="B129" s="73">
        <f>CoursesBasis!$O37</f>
        <v>3.8427083333333341E-2</v>
      </c>
      <c r="C129" s="73" t="e">
        <f t="shared" si="1"/>
        <v>#N/A</v>
      </c>
    </row>
    <row r="130" spans="1:3">
      <c r="A130" s="72" t="str">
        <f>CoursesBasis!$F38&amp;CoursesBasis!O$2</f>
        <v>FF4LG</v>
      </c>
      <c r="B130" s="73">
        <f>CoursesBasis!$O38</f>
        <v>2.7178819444444446E-2</v>
      </c>
      <c r="C130" s="73" t="e">
        <f t="shared" si="1"/>
        <v>#N/A</v>
      </c>
    </row>
    <row r="131" spans="1:3">
      <c r="A131" s="72" t="str">
        <f>CoursesBasis!$F39&amp;CoursesBasis!O$2</f>
        <v>FF5LG</v>
      </c>
      <c r="B131" s="73">
        <f>CoursesBasis!$O39</f>
        <v>3.8911458333333336E-2</v>
      </c>
      <c r="C131" s="73" t="e">
        <f t="shared" ref="C131:C194" si="2">VLOOKUP(A131,BahnLaufzeiten,14,FALSE)</f>
        <v>#N/A</v>
      </c>
    </row>
    <row r="132" spans="1:3">
      <c r="A132" s="72" t="str">
        <f>CoursesBasis!$F40&amp;CoursesBasis!O$2</f>
        <v>FF6LG</v>
      </c>
      <c r="B132" s="73">
        <f>CoursesBasis!$O40</f>
        <v>3.7189236111111121E-2</v>
      </c>
      <c r="C132" s="73" t="e">
        <f t="shared" si="2"/>
        <v>#N/A</v>
      </c>
    </row>
    <row r="133" spans="1:3">
      <c r="A133" s="72" t="str">
        <f>CoursesBasis!$F41&amp;CoursesBasis!O$2</f>
        <v>SELG</v>
      </c>
      <c r="B133" s="73">
        <f>CoursesBasis!$O41</f>
        <v>1.9169140625000001E-2</v>
      </c>
      <c r="C133" s="73" t="e">
        <f t="shared" si="2"/>
        <v>#N/A</v>
      </c>
    </row>
    <row r="134" spans="1:3">
      <c r="A134" s="72" t="str">
        <f>CoursesBasis!$F42&amp;CoursesBasis!O$2</f>
        <v>SDLG</v>
      </c>
      <c r="B134" s="73">
        <f>CoursesBasis!$O42</f>
        <v>3.3206597222222224E-2</v>
      </c>
      <c r="C134" s="73" t="e">
        <f t="shared" si="2"/>
        <v>#N/A</v>
      </c>
    </row>
    <row r="135" spans="1:3">
      <c r="A135" s="72" t="str">
        <f>CoursesBasis!$F43&amp;CoursesBasis!O$2</f>
        <v>LELG</v>
      </c>
      <c r="B135" s="73">
        <f>CoursesBasis!$O43</f>
        <v>4.5591796875000014E-2</v>
      </c>
      <c r="C135" s="73" t="e">
        <f t="shared" si="2"/>
        <v>#N/A</v>
      </c>
    </row>
    <row r="136" spans="1:3">
      <c r="A136" s="72" t="str">
        <f>CoursesBasis!$F44&amp;CoursesBasis!O$2</f>
        <v>LDLG</v>
      </c>
      <c r="B136" s="73">
        <f>CoursesBasis!$O44</f>
        <v>6.2839583333333338E-2</v>
      </c>
      <c r="C136" s="73" t="e">
        <f t="shared" si="2"/>
        <v>#N/A</v>
      </c>
    </row>
    <row r="137" spans="1:3">
      <c r="A137" s="72" t="str">
        <f>CoursesBasis!$F45&amp;CoursesBasis!O$2</f>
        <v>SENLG</v>
      </c>
      <c r="B137" s="73">
        <f>CoursesBasis!$O45</f>
        <v>1.732125E-2</v>
      </c>
      <c r="C137" s="73" t="e">
        <f t="shared" si="2"/>
        <v>#N/A</v>
      </c>
    </row>
    <row r="138" spans="1:3">
      <c r="A138" s="72" t="str">
        <f>CoursesBasis!$F46&amp;CoursesBasis!O$2</f>
        <v>SDNLG</v>
      </c>
      <c r="B138" s="73">
        <f>CoursesBasis!$O46</f>
        <v>2.8282118055555559E-2</v>
      </c>
      <c r="C138" s="73" t="e">
        <f t="shared" si="2"/>
        <v>#N/A</v>
      </c>
    </row>
    <row r="139" spans="1:3">
      <c r="A139" s="72" t="str">
        <f>CoursesBasis!$F47&amp;CoursesBasis!O$2</f>
        <v>LENLG</v>
      </c>
      <c r="B139" s="73">
        <f>CoursesBasis!$O47</f>
        <v>4.1548611111111119E-2</v>
      </c>
      <c r="C139" s="73" t="e">
        <f t="shared" si="2"/>
        <v>#N/A</v>
      </c>
    </row>
    <row r="140" spans="1:3">
      <c r="A140" s="72" t="str">
        <f>CoursesBasis!$F48&amp;CoursesBasis!O$2</f>
        <v>LDNLG</v>
      </c>
      <c r="B140" s="73">
        <f>CoursesBasis!$O48</f>
        <v>5.8333101851851872E-2</v>
      </c>
      <c r="C140" s="73" t="e">
        <f t="shared" si="2"/>
        <v>#N/A</v>
      </c>
    </row>
    <row r="141" spans="1:3">
      <c r="A141" s="5" t="str">
        <f>CoursesBasis!$F3&amp;CoursesBasis!P$2</f>
        <v>SF1LK</v>
      </c>
      <c r="B141" s="62">
        <f>CoursesBasis!$P3</f>
        <v>3.1444444444444448E-2</v>
      </c>
      <c r="C141" s="73" t="e">
        <f t="shared" si="2"/>
        <v>#N/A</v>
      </c>
    </row>
    <row r="142" spans="1:3">
      <c r="A142" s="5" t="str">
        <f>CoursesBasis!$F4&amp;CoursesBasis!P$2</f>
        <v>SE1LK</v>
      </c>
      <c r="B142" s="62">
        <f>CoursesBasis!$P4</f>
        <v>1.9424999999999998E-2</v>
      </c>
      <c r="C142" s="73" t="e">
        <f t="shared" si="2"/>
        <v>#N/A</v>
      </c>
    </row>
    <row r="143" spans="1:3">
      <c r="A143" s="5" t="str">
        <f>CoursesBasis!$F5&amp;CoursesBasis!P$2</f>
        <v>SE2LK</v>
      </c>
      <c r="B143" s="62">
        <f>CoursesBasis!$P5</f>
        <v>2.0400000000000001E-2</v>
      </c>
      <c r="C143" s="73">
        <f t="shared" si="2"/>
        <v>1.8807870370370371E-2</v>
      </c>
    </row>
    <row r="144" spans="1:3">
      <c r="A144" s="5" t="str">
        <f>CoursesBasis!$F6&amp;CoursesBasis!P$2</f>
        <v>SE3LK</v>
      </c>
      <c r="B144" s="62">
        <f>CoursesBasis!$P6</f>
        <v>1.8575000000000001E-2</v>
      </c>
      <c r="C144" s="73" t="e">
        <f t="shared" si="2"/>
        <v>#N/A</v>
      </c>
    </row>
    <row r="145" spans="1:3">
      <c r="A145" s="5" t="str">
        <f>CoursesBasis!$F7&amp;CoursesBasis!P$2</f>
        <v>SE4LK</v>
      </c>
      <c r="B145" s="62">
        <f>CoursesBasis!$P7</f>
        <v>2.0749999999999998E-2</v>
      </c>
      <c r="C145" s="73" t="e">
        <f t="shared" si="2"/>
        <v>#N/A</v>
      </c>
    </row>
    <row r="146" spans="1:3">
      <c r="A146" s="5" t="str">
        <f>CoursesBasis!$F8&amp;CoursesBasis!P$2</f>
        <v>SD1LK</v>
      </c>
      <c r="B146" s="62">
        <f>CoursesBasis!$P8</f>
        <v>3.330555555555556E-2</v>
      </c>
      <c r="C146" s="73">
        <f t="shared" si="2"/>
        <v>3.1909722222222221E-2</v>
      </c>
    </row>
    <row r="147" spans="1:3">
      <c r="A147" s="5" t="str">
        <f>CoursesBasis!$F9&amp;CoursesBasis!P$2</f>
        <v>SD2LK</v>
      </c>
      <c r="B147" s="62">
        <f>CoursesBasis!$P9</f>
        <v>3.6194444444444446E-2</v>
      </c>
      <c r="C147" s="73" t="e">
        <f t="shared" si="2"/>
        <v>#N/A</v>
      </c>
    </row>
    <row r="148" spans="1:3">
      <c r="A148" s="5" t="str">
        <f>CoursesBasis!$F10&amp;CoursesBasis!P$2</f>
        <v>SD3LK</v>
      </c>
      <c r="B148" s="62">
        <f>CoursesBasis!$P10</f>
        <v>3.1611111111111118E-2</v>
      </c>
      <c r="C148" s="73" t="e">
        <f t="shared" si="2"/>
        <v>#N/A</v>
      </c>
    </row>
    <row r="149" spans="1:3">
      <c r="A149" s="5" t="str">
        <f>CoursesBasis!$F11&amp;CoursesBasis!P$2</f>
        <v>SD4LK</v>
      </c>
      <c r="B149" s="62">
        <f>CoursesBasis!$P11</f>
        <v>3.6000000000000004E-2</v>
      </c>
      <c r="C149" s="73" t="e">
        <f t="shared" si="2"/>
        <v>#N/A</v>
      </c>
    </row>
    <row r="150" spans="1:3">
      <c r="A150" s="5" t="str">
        <f>CoursesBasis!$F12&amp;CoursesBasis!P$2</f>
        <v>LE1LK</v>
      </c>
      <c r="B150" s="62">
        <f>CoursesBasis!$P12</f>
        <v>4.5999999999999999E-2</v>
      </c>
      <c r="C150" s="73" t="e">
        <f t="shared" si="2"/>
        <v>#N/A</v>
      </c>
    </row>
    <row r="151" spans="1:3">
      <c r="A151" s="5" t="str">
        <f>CoursesBasis!$F13&amp;CoursesBasis!P$2</f>
        <v>LE2LK</v>
      </c>
      <c r="B151" s="62">
        <f>CoursesBasis!$P13</f>
        <v>4.5388888888888888E-2</v>
      </c>
      <c r="C151" s="73" t="e">
        <f t="shared" si="2"/>
        <v>#N/A</v>
      </c>
    </row>
    <row r="152" spans="1:3">
      <c r="A152" s="5" t="str">
        <f>CoursesBasis!$F14&amp;CoursesBasis!P$2</f>
        <v>LE3LK</v>
      </c>
      <c r="B152" s="62">
        <f>CoursesBasis!$P14</f>
        <v>4.6361111111111117E-2</v>
      </c>
      <c r="C152" s="73" t="e">
        <f t="shared" si="2"/>
        <v>#N/A</v>
      </c>
    </row>
    <row r="153" spans="1:3">
      <c r="A153" s="5" t="str">
        <f>CoursesBasis!$F15&amp;CoursesBasis!P$2</f>
        <v>LE4LK</v>
      </c>
      <c r="B153" s="62">
        <f>CoursesBasis!$P15</f>
        <v>5.0500000000000003E-2</v>
      </c>
      <c r="C153" s="73" t="e">
        <f t="shared" si="2"/>
        <v>#N/A</v>
      </c>
    </row>
    <row r="154" spans="1:3">
      <c r="A154" s="5" t="str">
        <f>CoursesBasis!$F16&amp;CoursesBasis!P$2</f>
        <v>LD1LK</v>
      </c>
      <c r="B154" s="62">
        <f>CoursesBasis!$P16</f>
        <v>6.6791666666666666E-2</v>
      </c>
      <c r="C154" s="73" t="e">
        <f t="shared" si="2"/>
        <v>#N/A</v>
      </c>
    </row>
    <row r="155" spans="1:3">
      <c r="A155" s="5" t="str">
        <f>CoursesBasis!$F17&amp;CoursesBasis!P$2</f>
        <v>LD2LK</v>
      </c>
      <c r="B155" s="62">
        <f>CoursesBasis!$P17</f>
        <v>6.3087500000000005E-2</v>
      </c>
      <c r="C155" s="73" t="e">
        <f t="shared" si="2"/>
        <v>#N/A</v>
      </c>
    </row>
    <row r="156" spans="1:3">
      <c r="A156" s="5" t="str">
        <f>CoursesBasis!$F18&amp;CoursesBasis!P$2</f>
        <v>LD3LK</v>
      </c>
      <c r="B156" s="62">
        <f>CoursesBasis!$P18</f>
        <v>6.4720833333333339E-2</v>
      </c>
      <c r="C156" s="73" t="e">
        <f t="shared" si="2"/>
        <v>#N/A</v>
      </c>
    </row>
    <row r="157" spans="1:3">
      <c r="A157" s="5" t="str">
        <f>CoursesBasis!$F19&amp;CoursesBasis!P$2</f>
        <v>ST1LK</v>
      </c>
      <c r="B157" s="62">
        <f>CoursesBasis!$P19</f>
        <v>2.4400000000000002E-2</v>
      </c>
      <c r="C157" s="73">
        <f t="shared" si="2"/>
        <v>2.736111111111111E-2</v>
      </c>
    </row>
    <row r="158" spans="1:3">
      <c r="A158" s="5" t="str">
        <f>CoursesBasis!$F20&amp;CoursesBasis!P$2</f>
        <v>LT1LK</v>
      </c>
      <c r="B158" s="62">
        <f>CoursesBasis!$P20</f>
        <v>4.3638888888888894E-2</v>
      </c>
      <c r="C158" s="73" t="e">
        <f t="shared" si="2"/>
        <v>#N/A</v>
      </c>
    </row>
    <row r="159" spans="1:3">
      <c r="A159" s="5" t="str">
        <f>CoursesBasis!$F21&amp;CoursesBasis!P$2</f>
        <v>SEN1LK</v>
      </c>
      <c r="B159" s="62">
        <f>CoursesBasis!$P21</f>
        <v>1.9099999999999999E-2</v>
      </c>
      <c r="C159" s="73">
        <f t="shared" si="2"/>
        <v>2.3182870370370371E-2</v>
      </c>
    </row>
    <row r="160" spans="1:3">
      <c r="A160" s="5" t="str">
        <f>CoursesBasis!$F22&amp;CoursesBasis!P$2</f>
        <v>SEN2LK</v>
      </c>
      <c r="B160" s="62">
        <f>CoursesBasis!$P22</f>
        <v>1.755E-2</v>
      </c>
      <c r="C160" s="73" t="e">
        <f t="shared" si="2"/>
        <v>#N/A</v>
      </c>
    </row>
    <row r="161" spans="1:3">
      <c r="A161" s="5" t="str">
        <f>CoursesBasis!$F23&amp;CoursesBasis!P$2</f>
        <v>SEN3LK</v>
      </c>
      <c r="B161" s="62">
        <f>CoursesBasis!$P23</f>
        <v>1.7400000000000002E-2</v>
      </c>
      <c r="C161" s="73" t="e">
        <f t="shared" si="2"/>
        <v>#N/A</v>
      </c>
    </row>
    <row r="162" spans="1:3">
      <c r="A162" s="5" t="str">
        <f>CoursesBasis!$F24&amp;CoursesBasis!P$2</f>
        <v>SEN4LK</v>
      </c>
      <c r="B162" s="62">
        <f>CoursesBasis!$P24</f>
        <v>1.8275000000000003E-2</v>
      </c>
      <c r="C162" s="73" t="e">
        <f t="shared" si="2"/>
        <v>#N/A</v>
      </c>
    </row>
    <row r="163" spans="1:3">
      <c r="A163" s="5" t="str">
        <f>CoursesBasis!$F25&amp;CoursesBasis!P$2</f>
        <v>SEN5LK</v>
      </c>
      <c r="B163" s="62">
        <f>CoursesBasis!$P25</f>
        <v>1.7075E-2</v>
      </c>
      <c r="C163" s="73" t="e">
        <f t="shared" si="2"/>
        <v>#N/A</v>
      </c>
    </row>
    <row r="164" spans="1:3">
      <c r="A164" s="5" t="str">
        <f>CoursesBasis!$F26&amp;CoursesBasis!P$2</f>
        <v>SDN1LK</v>
      </c>
      <c r="B164" s="62">
        <f>CoursesBasis!$P26</f>
        <v>2.5250000000000002E-2</v>
      </c>
      <c r="C164" s="73" t="e">
        <f t="shared" si="2"/>
        <v>#N/A</v>
      </c>
    </row>
    <row r="165" spans="1:3">
      <c r="A165" s="5" t="str">
        <f>CoursesBasis!$F27&amp;CoursesBasis!P$2</f>
        <v>SDN2LK</v>
      </c>
      <c r="B165" s="62">
        <f>CoursesBasis!$P27</f>
        <v>3.0527777777777779E-2</v>
      </c>
      <c r="C165" s="73" t="e">
        <f t="shared" si="2"/>
        <v>#N/A</v>
      </c>
    </row>
    <row r="166" spans="1:3">
      <c r="A166" s="5" t="str">
        <f>CoursesBasis!$F28&amp;CoursesBasis!P$2</f>
        <v>SDN3LK</v>
      </c>
      <c r="B166" s="62">
        <f>CoursesBasis!$P28</f>
        <v>3.1805555555555552E-2</v>
      </c>
      <c r="C166" s="73">
        <f t="shared" si="2"/>
        <v>3.0451388888888889E-2</v>
      </c>
    </row>
    <row r="167" spans="1:3">
      <c r="A167" s="5" t="str">
        <f>CoursesBasis!$F29&amp;CoursesBasis!P$2</f>
        <v>LEN1LK</v>
      </c>
      <c r="B167" s="62">
        <f>CoursesBasis!$P29</f>
        <v>4.2833333333333334E-2</v>
      </c>
      <c r="C167" s="73" t="e">
        <f t="shared" si="2"/>
        <v>#N/A</v>
      </c>
    </row>
    <row r="168" spans="1:3">
      <c r="A168" s="5" t="str">
        <f>CoursesBasis!$F30&amp;CoursesBasis!P$2</f>
        <v>LEN2LK</v>
      </c>
      <c r="B168" s="62">
        <f>CoursesBasis!$P30</f>
        <v>4.0722222222222222E-2</v>
      </c>
      <c r="C168" s="73" t="e">
        <f t="shared" si="2"/>
        <v>#N/A</v>
      </c>
    </row>
    <row r="169" spans="1:3">
      <c r="A169" s="5" t="str">
        <f>CoursesBasis!$F31&amp;CoursesBasis!P$2</f>
        <v>LEN3LK</v>
      </c>
      <c r="B169" s="62">
        <f>CoursesBasis!$P31</f>
        <v>4.5111111111111116E-2</v>
      </c>
      <c r="C169" s="73" t="e">
        <f t="shared" si="2"/>
        <v>#N/A</v>
      </c>
    </row>
    <row r="170" spans="1:3">
      <c r="A170" s="5" t="str">
        <f>CoursesBasis!$F32&amp;CoursesBasis!P$2</f>
        <v>LDN1LK</v>
      </c>
      <c r="B170" s="62">
        <f>CoursesBasis!$P32</f>
        <v>6.2088888888888895E-2</v>
      </c>
      <c r="C170" s="73" t="e">
        <f t="shared" si="2"/>
        <v>#N/A</v>
      </c>
    </row>
    <row r="171" spans="1:3">
      <c r="A171" s="5" t="str">
        <f>CoursesBasis!$F33&amp;CoursesBasis!P$2</f>
        <v>LDN2LK</v>
      </c>
      <c r="B171" s="62">
        <f>CoursesBasis!$P33</f>
        <v>5.8727777777777775E-2</v>
      </c>
      <c r="C171" s="73" t="e">
        <f t="shared" si="2"/>
        <v>#N/A</v>
      </c>
    </row>
    <row r="172" spans="1:3">
      <c r="A172" s="5" t="str">
        <f>CoursesBasis!$F34&amp;CoursesBasis!P$2</f>
        <v>LDN3LK</v>
      </c>
      <c r="B172" s="62">
        <f>CoursesBasis!$P34</f>
        <v>5.9827777777777778E-2</v>
      </c>
      <c r="C172" s="73" t="e">
        <f t="shared" si="2"/>
        <v>#N/A</v>
      </c>
    </row>
    <row r="173" spans="1:3">
      <c r="A173" s="5" t="str">
        <f>CoursesBasis!$F35&amp;CoursesBasis!P$2</f>
        <v>FF1LK</v>
      </c>
      <c r="B173" s="62">
        <f>CoursesBasis!$P35</f>
        <v>4.0472222222222222E-2</v>
      </c>
      <c r="C173" s="73" t="e">
        <f t="shared" si="2"/>
        <v>#N/A</v>
      </c>
    </row>
    <row r="174" spans="1:3">
      <c r="A174" s="5" t="str">
        <f>CoursesBasis!$F36&amp;CoursesBasis!P$2</f>
        <v>FF2LK</v>
      </c>
      <c r="B174" s="62">
        <f>CoursesBasis!$P36</f>
        <v>3.7055555555555557E-2</v>
      </c>
      <c r="C174" s="73">
        <f t="shared" si="2"/>
        <v>0</v>
      </c>
    </row>
    <row r="175" spans="1:3">
      <c r="A175" s="5" t="str">
        <f>CoursesBasis!$F37&amp;CoursesBasis!P$2</f>
        <v>FF3LK</v>
      </c>
      <c r="B175" s="62">
        <f>CoursesBasis!$P37</f>
        <v>3.966666666666667E-2</v>
      </c>
      <c r="C175" s="73" t="e">
        <f t="shared" si="2"/>
        <v>#N/A</v>
      </c>
    </row>
    <row r="176" spans="1:3">
      <c r="A176" s="5" t="str">
        <f>CoursesBasis!$F38&amp;CoursesBasis!P$2</f>
        <v>FF4LK</v>
      </c>
      <c r="B176" s="62">
        <f>CoursesBasis!$P38</f>
        <v>2.8055555555555556E-2</v>
      </c>
      <c r="C176" s="73" t="e">
        <f t="shared" si="2"/>
        <v>#N/A</v>
      </c>
    </row>
    <row r="177" spans="1:3">
      <c r="A177" s="5" t="str">
        <f>CoursesBasis!$F39&amp;CoursesBasis!P$2</f>
        <v>FF5LK</v>
      </c>
      <c r="B177" s="62">
        <f>CoursesBasis!$P39</f>
        <v>4.0166666666666663E-2</v>
      </c>
      <c r="C177" s="73" t="e">
        <f t="shared" si="2"/>
        <v>#N/A</v>
      </c>
    </row>
    <row r="178" spans="1:3">
      <c r="A178" s="5" t="str">
        <f>CoursesBasis!$F40&amp;CoursesBasis!P$2</f>
        <v>FF6LK</v>
      </c>
      <c r="B178" s="62">
        <f>CoursesBasis!$P40</f>
        <v>3.8388888888888889E-2</v>
      </c>
      <c r="C178" s="73" t="e">
        <f t="shared" si="2"/>
        <v>#N/A</v>
      </c>
    </row>
    <row r="179" spans="1:3">
      <c r="A179" s="5" t="str">
        <f>CoursesBasis!$F41&amp;CoursesBasis!P$2</f>
        <v>SELK</v>
      </c>
      <c r="B179" s="62">
        <f>CoursesBasis!$P41</f>
        <v>1.97875E-2</v>
      </c>
      <c r="C179" s="73" t="e">
        <f t="shared" si="2"/>
        <v>#N/A</v>
      </c>
    </row>
    <row r="180" spans="1:3">
      <c r="A180" s="5" t="str">
        <f>CoursesBasis!$F42&amp;CoursesBasis!P$2</f>
        <v>SDLK</v>
      </c>
      <c r="B180" s="62">
        <f>CoursesBasis!$P42</f>
        <v>3.4277777777777782E-2</v>
      </c>
      <c r="C180" s="73" t="e">
        <f t="shared" si="2"/>
        <v>#N/A</v>
      </c>
    </row>
    <row r="181" spans="1:3">
      <c r="A181" s="5" t="str">
        <f>CoursesBasis!$F43&amp;CoursesBasis!P$2</f>
        <v>LELK</v>
      </c>
      <c r="B181" s="62">
        <f>CoursesBasis!$P43</f>
        <v>4.7062500000000007E-2</v>
      </c>
      <c r="C181" s="73" t="e">
        <f t="shared" si="2"/>
        <v>#N/A</v>
      </c>
    </row>
    <row r="182" spans="1:3">
      <c r="A182" s="5" t="str">
        <f>CoursesBasis!$F44&amp;CoursesBasis!P$2</f>
        <v>LDLK</v>
      </c>
      <c r="B182" s="62">
        <f>CoursesBasis!$P44</f>
        <v>6.486666666666667E-2</v>
      </c>
      <c r="C182" s="73" t="e">
        <f t="shared" si="2"/>
        <v>#N/A</v>
      </c>
    </row>
    <row r="183" spans="1:3">
      <c r="A183" s="5" t="str">
        <f>CoursesBasis!$F45&amp;CoursesBasis!P$2</f>
        <v>SENLK</v>
      </c>
      <c r="B183" s="62">
        <f>CoursesBasis!$P45</f>
        <v>1.788E-2</v>
      </c>
      <c r="C183" s="73" t="e">
        <f t="shared" si="2"/>
        <v>#N/A</v>
      </c>
    </row>
    <row r="184" spans="1:3">
      <c r="A184" s="5" t="str">
        <f>CoursesBasis!$F46&amp;CoursesBasis!P$2</f>
        <v>SDNLK</v>
      </c>
      <c r="B184" s="62">
        <f>CoursesBasis!$P46</f>
        <v>2.9194444444444446E-2</v>
      </c>
      <c r="C184" s="73" t="e">
        <f t="shared" si="2"/>
        <v>#N/A</v>
      </c>
    </row>
    <row r="185" spans="1:3">
      <c r="A185" s="5" t="str">
        <f>CoursesBasis!$F47&amp;CoursesBasis!P$2</f>
        <v>LENLK</v>
      </c>
      <c r="B185" s="62">
        <f>CoursesBasis!$P47</f>
        <v>4.2888888888888886E-2</v>
      </c>
      <c r="C185" s="73" t="e">
        <f t="shared" si="2"/>
        <v>#N/A</v>
      </c>
    </row>
    <row r="186" spans="1:3">
      <c r="A186" s="5" t="str">
        <f>CoursesBasis!$F48&amp;CoursesBasis!P$2</f>
        <v>LDNLK</v>
      </c>
      <c r="B186" s="62">
        <f>CoursesBasis!$P48</f>
        <v>6.0214814814814818E-2</v>
      </c>
      <c r="C186" s="73" t="e">
        <f t="shared" si="2"/>
        <v>#N/A</v>
      </c>
    </row>
    <row r="187" spans="1:3">
      <c r="A187" s="72" t="str">
        <f>CoursesBasis!$F3&amp;CoursesBasis!Q$2</f>
        <v>SF1LD</v>
      </c>
      <c r="B187" s="73">
        <f>CoursesBasis!$Q3</f>
        <v>3.0461805555555561E-2</v>
      </c>
      <c r="C187" s="73" t="e">
        <f t="shared" si="2"/>
        <v>#N/A</v>
      </c>
    </row>
    <row r="188" spans="1:3">
      <c r="A188" s="72" t="str">
        <f>CoursesBasis!$F4&amp;CoursesBasis!Q$2</f>
        <v>SE1LD</v>
      </c>
      <c r="B188" s="73">
        <f>CoursesBasis!$Q4</f>
        <v>1.881796875E-2</v>
      </c>
      <c r="C188" s="73" t="e">
        <f t="shared" si="2"/>
        <v>#N/A</v>
      </c>
    </row>
    <row r="189" spans="1:3">
      <c r="A189" s="72" t="str">
        <f>CoursesBasis!$F5&amp;CoursesBasis!Q$2</f>
        <v>SE2LD</v>
      </c>
      <c r="B189" s="73">
        <f>CoursesBasis!$Q5</f>
        <v>1.9762500000000002E-2</v>
      </c>
      <c r="C189" s="73" t="e">
        <f t="shared" si="2"/>
        <v>#N/A</v>
      </c>
    </row>
    <row r="190" spans="1:3">
      <c r="A190" s="72" t="str">
        <f>CoursesBasis!$F6&amp;CoursesBasis!Q$2</f>
        <v>SE3LD</v>
      </c>
      <c r="B190" s="73">
        <f>CoursesBasis!$Q6</f>
        <v>1.7994531250000001E-2</v>
      </c>
      <c r="C190" s="73" t="e">
        <f t="shared" si="2"/>
        <v>#N/A</v>
      </c>
    </row>
    <row r="191" spans="1:3">
      <c r="A191" s="72" t="str">
        <f>CoursesBasis!$F7&amp;CoursesBasis!Q$2</f>
        <v>SE4LD</v>
      </c>
      <c r="B191" s="73">
        <f>CoursesBasis!$Q7</f>
        <v>2.01015625E-2</v>
      </c>
      <c r="C191" s="73" t="e">
        <f t="shared" si="2"/>
        <v>#N/A</v>
      </c>
    </row>
    <row r="192" spans="1:3">
      <c r="A192" s="72" t="str">
        <f>CoursesBasis!$F8&amp;CoursesBasis!Q$2</f>
        <v>SD1LD</v>
      </c>
      <c r="B192" s="73">
        <f>CoursesBasis!$Q8</f>
        <v>3.2264756944444452E-2</v>
      </c>
      <c r="C192" s="73" t="e">
        <f t="shared" si="2"/>
        <v>#N/A</v>
      </c>
    </row>
    <row r="193" spans="1:3">
      <c r="A193" s="72" t="str">
        <f>CoursesBasis!$F9&amp;CoursesBasis!Q$2</f>
        <v>SD2LD</v>
      </c>
      <c r="B193" s="73">
        <f>CoursesBasis!$Q9</f>
        <v>3.5063368055555558E-2</v>
      </c>
      <c r="C193" s="73">
        <f t="shared" si="2"/>
        <v>3.9340277777777773E-2</v>
      </c>
    </row>
    <row r="194" spans="1:3">
      <c r="A194" s="72" t="str">
        <f>CoursesBasis!$F10&amp;CoursesBasis!Q$2</f>
        <v>SD3LD</v>
      </c>
      <c r="B194" s="73">
        <f>CoursesBasis!$Q10</f>
        <v>3.0623263888888894E-2</v>
      </c>
      <c r="C194" s="73" t="e">
        <f t="shared" si="2"/>
        <v>#N/A</v>
      </c>
    </row>
    <row r="195" spans="1:3">
      <c r="A195" s="72" t="str">
        <f>CoursesBasis!$F11&amp;CoursesBasis!Q$2</f>
        <v>SD4LD</v>
      </c>
      <c r="B195" s="73">
        <f>CoursesBasis!$Q11</f>
        <v>3.487500000000001E-2</v>
      </c>
      <c r="C195" s="73" t="e">
        <f t="shared" ref="C195:C258" si="3">VLOOKUP(A195,BahnLaufzeiten,14,FALSE)</f>
        <v>#N/A</v>
      </c>
    </row>
    <row r="196" spans="1:3">
      <c r="A196" s="72" t="str">
        <f>CoursesBasis!$F12&amp;CoursesBasis!Q$2</f>
        <v>LE1LD</v>
      </c>
      <c r="B196" s="73">
        <f>CoursesBasis!$Q12</f>
        <v>4.4562500000000005E-2</v>
      </c>
      <c r="C196" s="73" t="e">
        <f t="shared" si="3"/>
        <v>#N/A</v>
      </c>
    </row>
    <row r="197" spans="1:3">
      <c r="A197" s="72" t="str">
        <f>CoursesBasis!$F13&amp;CoursesBasis!Q$2</f>
        <v>LE2LD</v>
      </c>
      <c r="B197" s="73">
        <f>CoursesBasis!$Q13</f>
        <v>4.3970486111111116E-2</v>
      </c>
      <c r="C197" s="73" t="e">
        <f t="shared" si="3"/>
        <v>#N/A</v>
      </c>
    </row>
    <row r="198" spans="1:3">
      <c r="A198" s="72" t="str">
        <f>CoursesBasis!$F14&amp;CoursesBasis!Q$2</f>
        <v>LE3LD</v>
      </c>
      <c r="B198" s="73">
        <f>CoursesBasis!$Q14</f>
        <v>4.4912326388888903E-2</v>
      </c>
      <c r="C198" s="73">
        <f t="shared" si="3"/>
        <v>4.6759259259259257E-2</v>
      </c>
    </row>
    <row r="199" spans="1:3">
      <c r="A199" s="72" t="str">
        <f>CoursesBasis!$F15&amp;CoursesBasis!Q$2</f>
        <v>LE4LD</v>
      </c>
      <c r="B199" s="73">
        <f>CoursesBasis!$Q15</f>
        <v>4.8921875000000004E-2</v>
      </c>
      <c r="C199" s="73" t="e">
        <f t="shared" si="3"/>
        <v>#N/A</v>
      </c>
    </row>
    <row r="200" spans="1:3">
      <c r="A200" s="72" t="str">
        <f>CoursesBasis!$F16&amp;CoursesBasis!Q$2</f>
        <v>LD1LD</v>
      </c>
      <c r="B200" s="73">
        <f>CoursesBasis!$Q16</f>
        <v>6.4704427083333349E-2</v>
      </c>
      <c r="C200" s="73" t="e">
        <f t="shared" si="3"/>
        <v>#N/A</v>
      </c>
    </row>
    <row r="201" spans="1:3">
      <c r="A201" s="72" t="str">
        <f>CoursesBasis!$F17&amp;CoursesBasis!Q$2</f>
        <v>LD2LD</v>
      </c>
      <c r="B201" s="73">
        <f>CoursesBasis!$Q17</f>
        <v>6.111601562500002E-2</v>
      </c>
      <c r="C201" s="73" t="e">
        <f t="shared" si="3"/>
        <v>#N/A</v>
      </c>
    </row>
    <row r="202" spans="1:3">
      <c r="A202" s="72" t="str">
        <f>CoursesBasis!$F18&amp;CoursesBasis!Q$2</f>
        <v>LD3LD</v>
      </c>
      <c r="B202" s="73">
        <f>CoursesBasis!$Q18</f>
        <v>6.2698307291666686E-2</v>
      </c>
      <c r="C202" s="73" t="e">
        <f t="shared" si="3"/>
        <v>#N/A</v>
      </c>
    </row>
    <row r="203" spans="1:3">
      <c r="A203" s="72" t="str">
        <f>CoursesBasis!$F19&amp;CoursesBasis!Q$2</f>
        <v>ST1LD</v>
      </c>
      <c r="B203" s="73">
        <f>CoursesBasis!$Q19</f>
        <v>2.3637500000000002E-2</v>
      </c>
      <c r="C203" s="73" t="e">
        <f t="shared" si="3"/>
        <v>#N/A</v>
      </c>
    </row>
    <row r="204" spans="1:3">
      <c r="A204" s="72" t="str">
        <f>CoursesBasis!$F20&amp;CoursesBasis!Q$2</f>
        <v>LT1LD</v>
      </c>
      <c r="B204" s="73">
        <f>CoursesBasis!$Q20</f>
        <v>4.2275173611111119E-2</v>
      </c>
      <c r="C204" s="73" t="e">
        <f t="shared" si="3"/>
        <v>#N/A</v>
      </c>
    </row>
    <row r="205" spans="1:3">
      <c r="A205" s="72" t="str">
        <f>CoursesBasis!$F21&amp;CoursesBasis!Q$2</f>
        <v>SEN1LD</v>
      </c>
      <c r="B205" s="73">
        <f>CoursesBasis!$Q21</f>
        <v>1.8503125000000002E-2</v>
      </c>
      <c r="C205" s="73" t="e">
        <f t="shared" si="3"/>
        <v>#N/A</v>
      </c>
    </row>
    <row r="206" spans="1:3">
      <c r="A206" s="72" t="str">
        <f>CoursesBasis!$F22&amp;CoursesBasis!Q$2</f>
        <v>SEN2LD</v>
      </c>
      <c r="B206" s="73">
        <f>CoursesBasis!$Q22</f>
        <v>1.7001562500000001E-2</v>
      </c>
      <c r="C206" s="73" t="e">
        <f t="shared" si="3"/>
        <v>#N/A</v>
      </c>
    </row>
    <row r="207" spans="1:3">
      <c r="A207" s="72" t="str">
        <f>CoursesBasis!$F23&amp;CoursesBasis!Q$2</f>
        <v>SEN3LD</v>
      </c>
      <c r="B207" s="73">
        <f>CoursesBasis!$Q23</f>
        <v>1.6856250000000007E-2</v>
      </c>
      <c r="C207" s="73" t="e">
        <f t="shared" si="3"/>
        <v>#N/A</v>
      </c>
    </row>
    <row r="208" spans="1:3">
      <c r="A208" s="72" t="str">
        <f>CoursesBasis!$F24&amp;CoursesBasis!Q$2</f>
        <v>SEN4LD</v>
      </c>
      <c r="B208" s="73">
        <f>CoursesBasis!$Q24</f>
        <v>1.7703906250000005E-2</v>
      </c>
      <c r="C208" s="73">
        <f t="shared" si="3"/>
        <v>2.631944444444444E-2</v>
      </c>
    </row>
    <row r="209" spans="1:3">
      <c r="A209" s="72" t="str">
        <f>CoursesBasis!$F25&amp;CoursesBasis!Q$2</f>
        <v>SEN5LD</v>
      </c>
      <c r="B209" s="73">
        <f>CoursesBasis!$Q25</f>
        <v>1.6541406250000001E-2</v>
      </c>
      <c r="C209" s="73" t="e">
        <f t="shared" si="3"/>
        <v>#N/A</v>
      </c>
    </row>
    <row r="210" spans="1:3">
      <c r="A210" s="72" t="str">
        <f>CoursesBasis!$F26&amp;CoursesBasis!Q$2</f>
        <v>SDN1LD</v>
      </c>
      <c r="B210" s="73">
        <f>CoursesBasis!$Q26</f>
        <v>2.4460937500000002E-2</v>
      </c>
      <c r="C210" s="73" t="e">
        <f t="shared" si="3"/>
        <v>#N/A</v>
      </c>
    </row>
    <row r="211" spans="1:3">
      <c r="A211" s="72" t="str">
        <f>CoursesBasis!$F27&amp;CoursesBasis!Q$2</f>
        <v>SDN2LD</v>
      </c>
      <c r="B211" s="73">
        <f>CoursesBasis!$Q27</f>
        <v>2.9573784722222229E-2</v>
      </c>
      <c r="C211" s="73" t="e">
        <f t="shared" si="3"/>
        <v>#N/A</v>
      </c>
    </row>
    <row r="212" spans="1:3">
      <c r="A212" s="72" t="str">
        <f>CoursesBasis!$F28&amp;CoursesBasis!Q$2</f>
        <v>SDN3LD</v>
      </c>
      <c r="B212" s="73">
        <f>CoursesBasis!$Q28</f>
        <v>3.0811631944444449E-2</v>
      </c>
      <c r="C212" s="73" t="e">
        <f t="shared" si="3"/>
        <v>#N/A</v>
      </c>
    </row>
    <row r="213" spans="1:3">
      <c r="A213" s="72" t="str">
        <f>CoursesBasis!$F29&amp;CoursesBasis!Q$2</f>
        <v>LEN1LD</v>
      </c>
      <c r="B213" s="73">
        <f>CoursesBasis!$Q29</f>
        <v>4.1494791666666669E-2</v>
      </c>
      <c r="C213" s="73">
        <f t="shared" si="3"/>
        <v>5.8090277777777775E-2</v>
      </c>
    </row>
    <row r="214" spans="1:3">
      <c r="A214" s="72" t="str">
        <f>CoursesBasis!$F30&amp;CoursesBasis!Q$2</f>
        <v>LEN2LD</v>
      </c>
      <c r="B214" s="73">
        <f>CoursesBasis!$Q30</f>
        <v>3.9449652777777781E-2</v>
      </c>
      <c r="C214" s="73" t="e">
        <f t="shared" si="3"/>
        <v>#N/A</v>
      </c>
    </row>
    <row r="215" spans="1:3">
      <c r="A215" s="72" t="str">
        <f>CoursesBasis!$F31&amp;CoursesBasis!Q$2</f>
        <v>LEN3LD</v>
      </c>
      <c r="B215" s="73">
        <f>CoursesBasis!$Q31</f>
        <v>4.3701388888888901E-2</v>
      </c>
      <c r="C215" s="73" t="e">
        <f t="shared" si="3"/>
        <v>#N/A</v>
      </c>
    </row>
    <row r="216" spans="1:3">
      <c r="A216" s="72" t="str">
        <f>CoursesBasis!$F32&amp;CoursesBasis!Q$2</f>
        <v>LDN1LD</v>
      </c>
      <c r="B216" s="73">
        <f>CoursesBasis!$Q32</f>
        <v>6.0148611111111132E-2</v>
      </c>
      <c r="C216" s="73" t="e">
        <f t="shared" si="3"/>
        <v>#N/A</v>
      </c>
    </row>
    <row r="217" spans="1:3">
      <c r="A217" s="72" t="str">
        <f>CoursesBasis!$F33&amp;CoursesBasis!Q$2</f>
        <v>LDN2LD</v>
      </c>
      <c r="B217" s="73">
        <f>CoursesBasis!$Q33</f>
        <v>5.6892534722222235E-2</v>
      </c>
      <c r="C217" s="73" t="e">
        <f t="shared" si="3"/>
        <v>#N/A</v>
      </c>
    </row>
    <row r="218" spans="1:3">
      <c r="A218" s="72" t="str">
        <f>CoursesBasis!$F34&amp;CoursesBasis!Q$2</f>
        <v>LDN3LD</v>
      </c>
      <c r="B218" s="73">
        <f>CoursesBasis!$Q34</f>
        <v>5.7958159722222236E-2</v>
      </c>
      <c r="C218" s="73">
        <f t="shared" si="3"/>
        <v>0</v>
      </c>
    </row>
    <row r="219" spans="1:3">
      <c r="A219" s="72" t="str">
        <f>CoursesBasis!$F35&amp;CoursesBasis!Q$2</f>
        <v>FF1LD</v>
      </c>
      <c r="B219" s="73">
        <f>CoursesBasis!$Q35</f>
        <v>3.9207465277777784E-2</v>
      </c>
      <c r="C219" s="73" t="e">
        <f t="shared" si="3"/>
        <v>#N/A</v>
      </c>
    </row>
    <row r="220" spans="1:3">
      <c r="A220" s="72" t="str">
        <f>CoursesBasis!$F36&amp;CoursesBasis!Q$2</f>
        <v>FF2LD</v>
      </c>
      <c r="B220" s="73">
        <f>CoursesBasis!$Q36</f>
        <v>3.5897569444444451E-2</v>
      </c>
      <c r="C220" s="73" t="e">
        <f t="shared" si="3"/>
        <v>#N/A</v>
      </c>
    </row>
    <row r="221" spans="1:3">
      <c r="A221" s="72" t="str">
        <f>CoursesBasis!$F37&amp;CoursesBasis!Q$2</f>
        <v>FF3LD</v>
      </c>
      <c r="B221" s="73">
        <f>CoursesBasis!$Q37</f>
        <v>3.8427083333333341E-2</v>
      </c>
      <c r="C221" s="73">
        <f t="shared" si="3"/>
        <v>0</v>
      </c>
    </row>
    <row r="222" spans="1:3">
      <c r="A222" s="72" t="str">
        <f>CoursesBasis!$F38&amp;CoursesBasis!Q$2</f>
        <v>FF4LD</v>
      </c>
      <c r="B222" s="73">
        <f>CoursesBasis!$Q38</f>
        <v>2.7178819444444446E-2</v>
      </c>
      <c r="C222" s="73" t="e">
        <f t="shared" si="3"/>
        <v>#N/A</v>
      </c>
    </row>
    <row r="223" spans="1:3">
      <c r="A223" s="72" t="str">
        <f>CoursesBasis!$F39&amp;CoursesBasis!Q$2</f>
        <v>FF5LD</v>
      </c>
      <c r="B223" s="73">
        <f>CoursesBasis!$Q39</f>
        <v>3.8911458333333336E-2</v>
      </c>
      <c r="C223" s="73" t="e">
        <f t="shared" si="3"/>
        <v>#N/A</v>
      </c>
    </row>
    <row r="224" spans="1:3">
      <c r="A224" s="72" t="str">
        <f>CoursesBasis!$F40&amp;CoursesBasis!Q$2</f>
        <v>FF6LD</v>
      </c>
      <c r="B224" s="73">
        <f>CoursesBasis!$Q40</f>
        <v>3.7189236111111121E-2</v>
      </c>
      <c r="C224" s="73" t="e">
        <f t="shared" si="3"/>
        <v>#N/A</v>
      </c>
    </row>
    <row r="225" spans="1:3">
      <c r="A225" s="72" t="str">
        <f>CoursesBasis!$F41&amp;CoursesBasis!Q$2</f>
        <v>SELD</v>
      </c>
      <c r="B225" s="73">
        <f>CoursesBasis!$Q41</f>
        <v>1.9169140625000001E-2</v>
      </c>
      <c r="C225" s="73" t="e">
        <f t="shared" si="3"/>
        <v>#N/A</v>
      </c>
    </row>
    <row r="226" spans="1:3">
      <c r="A226" s="72" t="str">
        <f>CoursesBasis!$F42&amp;CoursesBasis!Q$2</f>
        <v>SDLD</v>
      </c>
      <c r="B226" s="73">
        <f>CoursesBasis!$Q42</f>
        <v>3.3206597222222224E-2</v>
      </c>
      <c r="C226" s="73" t="e">
        <f t="shared" si="3"/>
        <v>#N/A</v>
      </c>
    </row>
    <row r="227" spans="1:3">
      <c r="A227" s="72" t="str">
        <f>CoursesBasis!$F43&amp;CoursesBasis!Q$2</f>
        <v>LELD</v>
      </c>
      <c r="B227" s="73">
        <f>CoursesBasis!$Q43</f>
        <v>4.5591796875000014E-2</v>
      </c>
      <c r="C227" s="73" t="e">
        <f t="shared" si="3"/>
        <v>#N/A</v>
      </c>
    </row>
    <row r="228" spans="1:3">
      <c r="A228" s="72" t="str">
        <f>CoursesBasis!$F44&amp;CoursesBasis!Q$2</f>
        <v>LDLD</v>
      </c>
      <c r="B228" s="73">
        <f>CoursesBasis!$Q44</f>
        <v>6.2839583333333338E-2</v>
      </c>
      <c r="C228" s="73" t="e">
        <f t="shared" si="3"/>
        <v>#N/A</v>
      </c>
    </row>
    <row r="229" spans="1:3">
      <c r="A229" s="72" t="str">
        <f>CoursesBasis!$F45&amp;CoursesBasis!Q$2</f>
        <v>SENLD</v>
      </c>
      <c r="B229" s="73">
        <f>CoursesBasis!$Q45</f>
        <v>1.732125E-2</v>
      </c>
      <c r="C229" s="73" t="e">
        <f t="shared" si="3"/>
        <v>#N/A</v>
      </c>
    </row>
    <row r="230" spans="1:3">
      <c r="A230" s="72" t="str">
        <f>CoursesBasis!$F46&amp;CoursesBasis!Q$2</f>
        <v>SDNLD</v>
      </c>
      <c r="B230" s="73">
        <f>CoursesBasis!$Q46</f>
        <v>2.8282118055555559E-2</v>
      </c>
      <c r="C230" s="73" t="e">
        <f t="shared" si="3"/>
        <v>#N/A</v>
      </c>
    </row>
    <row r="231" spans="1:3">
      <c r="A231" s="72" t="str">
        <f>CoursesBasis!$F47&amp;CoursesBasis!Q$2</f>
        <v>LENLD</v>
      </c>
      <c r="B231" s="73">
        <f>CoursesBasis!$Q47</f>
        <v>4.1548611111111119E-2</v>
      </c>
      <c r="C231" s="73" t="e">
        <f t="shared" si="3"/>
        <v>#N/A</v>
      </c>
    </row>
    <row r="232" spans="1:3">
      <c r="A232" s="72" t="str">
        <f>CoursesBasis!$F48&amp;CoursesBasis!Q$2</f>
        <v>LDNLD</v>
      </c>
      <c r="B232" s="73">
        <f>CoursesBasis!$Q48</f>
        <v>5.8333101851851872E-2</v>
      </c>
      <c r="C232" s="73" t="e">
        <f t="shared" si="3"/>
        <v>#N/A</v>
      </c>
    </row>
    <row r="233" spans="1:3">
      <c r="A233" s="5" t="str">
        <f>CoursesBasis!$F3&amp;CoursesBasis!R$2</f>
        <v>SF1RS</v>
      </c>
      <c r="B233" s="62">
        <f>CoursesBasis!$R3</f>
        <v>3.3409722222222223E-2</v>
      </c>
      <c r="C233" s="73" t="e">
        <f t="shared" si="3"/>
        <v>#N/A</v>
      </c>
    </row>
    <row r="234" spans="1:3">
      <c r="A234" s="5" t="str">
        <f>CoursesBasis!$F4&amp;CoursesBasis!R$2</f>
        <v>SE1RS</v>
      </c>
      <c r="B234" s="62">
        <f>CoursesBasis!$R4</f>
        <v>2.0639062499999999E-2</v>
      </c>
      <c r="C234" s="73">
        <f t="shared" si="3"/>
        <v>2.3333333333333334E-2</v>
      </c>
    </row>
    <row r="235" spans="1:3">
      <c r="A235" s="5" t="str">
        <f>CoursesBasis!$F5&amp;CoursesBasis!R$2</f>
        <v>SE2RS</v>
      </c>
      <c r="B235" s="62">
        <f>CoursesBasis!$R5</f>
        <v>2.1675000000000003E-2</v>
      </c>
      <c r="C235" s="73" t="e">
        <f t="shared" si="3"/>
        <v>#N/A</v>
      </c>
    </row>
    <row r="236" spans="1:3">
      <c r="A236" s="5" t="str">
        <f>CoursesBasis!$F6&amp;CoursesBasis!R$2</f>
        <v>SE3RS</v>
      </c>
      <c r="B236" s="62">
        <f>CoursesBasis!$R6</f>
        <v>1.9735937500000002E-2</v>
      </c>
      <c r="C236" s="73">
        <f t="shared" si="3"/>
        <v>1.9490740740740743E-2</v>
      </c>
    </row>
    <row r="237" spans="1:3">
      <c r="A237" s="5" t="str">
        <f>CoursesBasis!$F7&amp;CoursesBasis!R$2</f>
        <v>SE4RS</v>
      </c>
      <c r="B237" s="62">
        <f>CoursesBasis!$R7</f>
        <v>2.2046874999999997E-2</v>
      </c>
      <c r="C237" s="73" t="e">
        <f t="shared" si="3"/>
        <v>#N/A</v>
      </c>
    </row>
    <row r="238" spans="1:3">
      <c r="A238" s="5" t="str">
        <f>CoursesBasis!$F8&amp;CoursesBasis!R$2</f>
        <v>SD1RS</v>
      </c>
      <c r="B238" s="62">
        <f>CoursesBasis!$R8</f>
        <v>3.5387152777777778E-2</v>
      </c>
      <c r="C238" s="73" t="e">
        <f t="shared" si="3"/>
        <v>#N/A</v>
      </c>
    </row>
    <row r="239" spans="1:3">
      <c r="A239" s="5" t="str">
        <f>CoursesBasis!$F9&amp;CoursesBasis!R$2</f>
        <v>SD2RS</v>
      </c>
      <c r="B239" s="62">
        <f>CoursesBasis!$R9</f>
        <v>3.8456597222222222E-2</v>
      </c>
      <c r="C239" s="73" t="e">
        <f t="shared" si="3"/>
        <v>#N/A</v>
      </c>
    </row>
    <row r="240" spans="1:3">
      <c r="A240" s="5" t="str">
        <f>CoursesBasis!$F10&amp;CoursesBasis!R$2</f>
        <v>SD3RS</v>
      </c>
      <c r="B240" s="62">
        <f>CoursesBasis!$R10</f>
        <v>3.3586805555555557E-2</v>
      </c>
      <c r="C240" s="73" t="e">
        <f t="shared" si="3"/>
        <v>#N/A</v>
      </c>
    </row>
    <row r="241" spans="1:3">
      <c r="A241" s="5" t="str">
        <f>CoursesBasis!$F11&amp;CoursesBasis!R$2</f>
        <v>SD4RS</v>
      </c>
      <c r="B241" s="62">
        <f>CoursesBasis!$R11</f>
        <v>3.8249999999999999E-2</v>
      </c>
      <c r="C241" s="73" t="e">
        <f t="shared" si="3"/>
        <v>#N/A</v>
      </c>
    </row>
    <row r="242" spans="1:3">
      <c r="A242" s="5" t="str">
        <f>CoursesBasis!$F12&amp;CoursesBasis!R$2</f>
        <v>LE1RS</v>
      </c>
      <c r="B242" s="62">
        <f>CoursesBasis!$R12</f>
        <v>4.8874999999999995E-2</v>
      </c>
      <c r="C242" s="73" t="e">
        <f t="shared" si="3"/>
        <v>#N/A</v>
      </c>
    </row>
    <row r="243" spans="1:3">
      <c r="A243" s="5" t="str">
        <f>CoursesBasis!$F13&amp;CoursesBasis!R$2</f>
        <v>LE2RS</v>
      </c>
      <c r="B243" s="62">
        <f>CoursesBasis!$R13</f>
        <v>4.8225694444444446E-2</v>
      </c>
      <c r="C243" s="73" t="e">
        <f t="shared" si="3"/>
        <v>#N/A</v>
      </c>
    </row>
    <row r="244" spans="1:3">
      <c r="A244" s="5" t="str">
        <f>CoursesBasis!$F14&amp;CoursesBasis!R$2</f>
        <v>LE3RS</v>
      </c>
      <c r="B244" s="62">
        <f>CoursesBasis!$R14</f>
        <v>4.9258680555555559E-2</v>
      </c>
      <c r="C244" s="73" t="e">
        <f t="shared" si="3"/>
        <v>#N/A</v>
      </c>
    </row>
    <row r="245" spans="1:3">
      <c r="A245" s="5" t="str">
        <f>CoursesBasis!$F15&amp;CoursesBasis!R$2</f>
        <v>LE4RS</v>
      </c>
      <c r="B245" s="62">
        <f>CoursesBasis!$R15</f>
        <v>5.3656249999999996E-2</v>
      </c>
      <c r="C245" s="73" t="e">
        <f t="shared" si="3"/>
        <v>#N/A</v>
      </c>
    </row>
    <row r="246" spans="1:3">
      <c r="A246" s="5" t="str">
        <f>CoursesBasis!$F16&amp;CoursesBasis!R$2</f>
        <v>LD1RS</v>
      </c>
      <c r="B246" s="62">
        <f>CoursesBasis!$R16</f>
        <v>7.0966145833333327E-2</v>
      </c>
      <c r="C246" s="73" t="e">
        <f t="shared" si="3"/>
        <v>#N/A</v>
      </c>
    </row>
    <row r="247" spans="1:3">
      <c r="A247" s="5" t="str">
        <f>CoursesBasis!$F17&amp;CoursesBasis!R$2</f>
        <v>LD2RS</v>
      </c>
      <c r="B247" s="62">
        <f>CoursesBasis!$R17</f>
        <v>6.7030468750000002E-2</v>
      </c>
      <c r="C247" s="73" t="e">
        <f t="shared" si="3"/>
        <v>#N/A</v>
      </c>
    </row>
    <row r="248" spans="1:3">
      <c r="A248" s="5" t="str">
        <f>CoursesBasis!$F18&amp;CoursesBasis!R$2</f>
        <v>LD3RS</v>
      </c>
      <c r="B248" s="62">
        <f>CoursesBasis!$R18</f>
        <v>6.8765885416666672E-2</v>
      </c>
      <c r="C248" s="73" t="e">
        <f t="shared" si="3"/>
        <v>#N/A</v>
      </c>
    </row>
    <row r="249" spans="1:3">
      <c r="A249" s="5" t="str">
        <f>CoursesBasis!$F19&amp;CoursesBasis!R$2</f>
        <v>ST1RS</v>
      </c>
      <c r="B249" s="62">
        <f>CoursesBasis!$R19</f>
        <v>2.5925E-2</v>
      </c>
      <c r="C249" s="73" t="e">
        <f t="shared" si="3"/>
        <v>#N/A</v>
      </c>
    </row>
    <row r="250" spans="1:3">
      <c r="A250" s="5" t="str">
        <f>CoursesBasis!$F20&amp;CoursesBasis!R$2</f>
        <v>LT1RS</v>
      </c>
      <c r="B250" s="62">
        <f>CoursesBasis!$R20</f>
        <v>4.6366319444444443E-2</v>
      </c>
      <c r="C250" s="73" t="e">
        <f t="shared" si="3"/>
        <v>#N/A</v>
      </c>
    </row>
    <row r="251" spans="1:3">
      <c r="A251" s="5" t="str">
        <f>CoursesBasis!$F21&amp;CoursesBasis!R$2</f>
        <v>SEN1RS</v>
      </c>
      <c r="B251" s="62">
        <f>CoursesBasis!$R21</f>
        <v>2.0293749999999999E-2</v>
      </c>
      <c r="C251" s="73" t="e">
        <f t="shared" si="3"/>
        <v>#N/A</v>
      </c>
    </row>
    <row r="252" spans="1:3">
      <c r="A252" s="5" t="str">
        <f>CoursesBasis!$F22&amp;CoursesBasis!R$2</f>
        <v>SEN2RS</v>
      </c>
      <c r="B252" s="62">
        <f>CoursesBasis!$R22</f>
        <v>1.8646875E-2</v>
      </c>
      <c r="C252" s="73" t="e">
        <f t="shared" si="3"/>
        <v>#N/A</v>
      </c>
    </row>
    <row r="253" spans="1:3">
      <c r="A253" s="5" t="str">
        <f>CoursesBasis!$F23&amp;CoursesBasis!R$2</f>
        <v>SEN3RS</v>
      </c>
      <c r="B253" s="62">
        <f>CoursesBasis!$R23</f>
        <v>1.8487500000000004E-2</v>
      </c>
      <c r="C253" s="73">
        <f t="shared" si="3"/>
        <v>2.0324074074074074E-2</v>
      </c>
    </row>
    <row r="254" spans="1:3">
      <c r="A254" s="5" t="str">
        <f>CoursesBasis!$F24&amp;CoursesBasis!R$2</f>
        <v>SEN4RS</v>
      </c>
      <c r="B254" s="62">
        <f>CoursesBasis!$R24</f>
        <v>1.9417187500000002E-2</v>
      </c>
      <c r="C254" s="73" t="e">
        <f t="shared" si="3"/>
        <v>#N/A</v>
      </c>
    </row>
    <row r="255" spans="1:3">
      <c r="A255" s="5" t="str">
        <f>CoursesBasis!$F25&amp;CoursesBasis!R$2</f>
        <v>SEN5RS</v>
      </c>
      <c r="B255" s="62">
        <f>CoursesBasis!$R25</f>
        <v>1.81421875E-2</v>
      </c>
      <c r="C255" s="73">
        <f t="shared" si="3"/>
        <v>2.4143518518518519E-2</v>
      </c>
    </row>
    <row r="256" spans="1:3">
      <c r="A256" s="5" t="str">
        <f>CoursesBasis!$F26&amp;CoursesBasis!R$2</f>
        <v>SDN1RS</v>
      </c>
      <c r="B256" s="62">
        <f>CoursesBasis!$R26</f>
        <v>2.6828124999999998E-2</v>
      </c>
      <c r="C256" s="73" t="e">
        <f t="shared" si="3"/>
        <v>#N/A</v>
      </c>
    </row>
    <row r="257" spans="1:3">
      <c r="A257" s="5" t="str">
        <f>CoursesBasis!$F27&amp;CoursesBasis!R$2</f>
        <v>SDN2RS</v>
      </c>
      <c r="B257" s="62">
        <f>CoursesBasis!$R27</f>
        <v>3.2435763888888886E-2</v>
      </c>
      <c r="C257" s="73" t="e">
        <f t="shared" si="3"/>
        <v>#N/A</v>
      </c>
    </row>
    <row r="258" spans="1:3">
      <c r="A258" s="5" t="str">
        <f>CoursesBasis!$F28&amp;CoursesBasis!R$2</f>
        <v>SDN3RS</v>
      </c>
      <c r="B258" s="62">
        <f>CoursesBasis!$R28</f>
        <v>3.3793402777777773E-2</v>
      </c>
      <c r="C258" s="73" t="e">
        <f t="shared" si="3"/>
        <v>#N/A</v>
      </c>
    </row>
    <row r="259" spans="1:3">
      <c r="A259" s="5" t="str">
        <f>CoursesBasis!$F29&amp;CoursesBasis!R$2</f>
        <v>LEN1RS</v>
      </c>
      <c r="B259" s="62">
        <f>CoursesBasis!$R29</f>
        <v>4.5510416666666664E-2</v>
      </c>
      <c r="C259" s="73" t="e">
        <f t="shared" ref="C259:C278" si="4">VLOOKUP(A259,BahnLaufzeiten,14,FALSE)</f>
        <v>#N/A</v>
      </c>
    </row>
    <row r="260" spans="1:3">
      <c r="A260" s="5" t="str">
        <f>CoursesBasis!$F30&amp;CoursesBasis!R$2</f>
        <v>LEN2RS</v>
      </c>
      <c r="B260" s="62">
        <f>CoursesBasis!$R30</f>
        <v>4.3267361111111111E-2</v>
      </c>
      <c r="C260" s="73" t="e">
        <f t="shared" si="4"/>
        <v>#N/A</v>
      </c>
    </row>
    <row r="261" spans="1:3">
      <c r="A261" s="5" t="str">
        <f>CoursesBasis!$F31&amp;CoursesBasis!R$2</f>
        <v>LEN3RS</v>
      </c>
      <c r="B261" s="62">
        <f>CoursesBasis!$R31</f>
        <v>4.793055555555556E-2</v>
      </c>
      <c r="C261" s="73" t="e">
        <f t="shared" si="4"/>
        <v>#N/A</v>
      </c>
    </row>
    <row r="262" spans="1:3">
      <c r="A262" s="5" t="str">
        <f>CoursesBasis!$F32&amp;CoursesBasis!R$2</f>
        <v>LDN1RS</v>
      </c>
      <c r="B262" s="62">
        <f>CoursesBasis!$R32</f>
        <v>6.5969444444444442E-2</v>
      </c>
      <c r="C262" s="73">
        <f t="shared" si="4"/>
        <v>0</v>
      </c>
    </row>
    <row r="263" spans="1:3">
      <c r="A263" s="5" t="str">
        <f>CoursesBasis!$F33&amp;CoursesBasis!R$2</f>
        <v>LDN2RS</v>
      </c>
      <c r="B263" s="62">
        <f>CoursesBasis!$R33</f>
        <v>6.2398263888888889E-2</v>
      </c>
      <c r="C263" s="73" t="e">
        <f t="shared" si="4"/>
        <v>#N/A</v>
      </c>
    </row>
    <row r="264" spans="1:3">
      <c r="A264" s="5" t="str">
        <f>CoursesBasis!$F34&amp;CoursesBasis!R$2</f>
        <v>LDN3RS</v>
      </c>
      <c r="B264" s="62">
        <f>CoursesBasis!$R34</f>
        <v>6.3567013888888885E-2</v>
      </c>
      <c r="C264" s="73" t="e">
        <f t="shared" si="4"/>
        <v>#N/A</v>
      </c>
    </row>
    <row r="265" spans="1:3">
      <c r="A265" s="5" t="str">
        <f>CoursesBasis!$F35&amp;CoursesBasis!R$2</f>
        <v>FF1RS</v>
      </c>
      <c r="B265" s="62">
        <f>CoursesBasis!$R35</f>
        <v>4.3001736111111112E-2</v>
      </c>
      <c r="C265" s="73" t="e">
        <f t="shared" si="4"/>
        <v>#N/A</v>
      </c>
    </row>
    <row r="266" spans="1:3">
      <c r="A266" s="5" t="str">
        <f>CoursesBasis!$F36&amp;CoursesBasis!R$2</f>
        <v>FF2RS</v>
      </c>
      <c r="B266" s="62">
        <f>CoursesBasis!$R36</f>
        <v>3.9371527777777776E-2</v>
      </c>
      <c r="C266" s="73" t="e">
        <f t="shared" si="4"/>
        <v>#N/A</v>
      </c>
    </row>
    <row r="267" spans="1:3">
      <c r="A267" s="5" t="str">
        <f>CoursesBasis!$F37&amp;CoursesBasis!R$2</f>
        <v>FF3RS</v>
      </c>
      <c r="B267" s="62">
        <f>CoursesBasis!$R37</f>
        <v>4.2145833333333334E-2</v>
      </c>
      <c r="C267" s="73" t="e">
        <f t="shared" si="4"/>
        <v>#N/A</v>
      </c>
    </row>
    <row r="268" spans="1:3">
      <c r="A268" s="5" t="str">
        <f>CoursesBasis!$F38&amp;CoursesBasis!R$2</f>
        <v>FF4RS</v>
      </c>
      <c r="B268" s="62">
        <f>CoursesBasis!$R38</f>
        <v>2.9809027777777775E-2</v>
      </c>
      <c r="C268" s="73">
        <f t="shared" si="4"/>
        <v>0</v>
      </c>
    </row>
    <row r="269" spans="1:3">
      <c r="A269" s="5" t="str">
        <f>CoursesBasis!$F39&amp;CoursesBasis!R$2</f>
        <v>FF5RS</v>
      </c>
      <c r="B269" s="62">
        <f>CoursesBasis!$R39</f>
        <v>4.2677083333333331E-2</v>
      </c>
      <c r="C269" s="73" t="e">
        <f t="shared" si="4"/>
        <v>#N/A</v>
      </c>
    </row>
    <row r="270" spans="1:3">
      <c r="A270" s="5" t="str">
        <f>CoursesBasis!$F40&amp;CoursesBasis!R$2</f>
        <v>FF6RS</v>
      </c>
      <c r="B270" s="62">
        <f>CoursesBasis!$R40</f>
        <v>4.0788194444444446E-2</v>
      </c>
      <c r="C270" s="73" t="e">
        <f t="shared" si="4"/>
        <v>#N/A</v>
      </c>
    </row>
    <row r="271" spans="1:3">
      <c r="A271" s="5" t="str">
        <f>CoursesBasis!$F41&amp;CoursesBasis!R$2</f>
        <v>SERS</v>
      </c>
      <c r="B271" s="62">
        <f>CoursesBasis!$R41</f>
        <v>2.102421875E-2</v>
      </c>
      <c r="C271" s="73" t="e">
        <f t="shared" si="4"/>
        <v>#N/A</v>
      </c>
    </row>
    <row r="272" spans="1:3">
      <c r="A272" s="5" t="str">
        <f>CoursesBasis!$F42&amp;CoursesBasis!R$2</f>
        <v>SDRS</v>
      </c>
      <c r="B272" s="62">
        <f>CoursesBasis!$R42</f>
        <v>3.6420138888888891E-2</v>
      </c>
      <c r="C272" s="73" t="e">
        <f t="shared" si="4"/>
        <v>#N/A</v>
      </c>
    </row>
    <row r="273" spans="1:3">
      <c r="A273" s="5" t="str">
        <f>CoursesBasis!$F43&amp;CoursesBasis!R$2</f>
        <v>LERS</v>
      </c>
      <c r="B273" s="62">
        <f>CoursesBasis!$R43</f>
        <v>5.0003906250000008E-2</v>
      </c>
      <c r="C273" s="73" t="e">
        <f t="shared" si="4"/>
        <v>#N/A</v>
      </c>
    </row>
    <row r="274" spans="1:3">
      <c r="A274" s="5" t="str">
        <f>CoursesBasis!$F44&amp;CoursesBasis!R$2</f>
        <v>LDRS</v>
      </c>
      <c r="B274" s="62">
        <f>CoursesBasis!$R44</f>
        <v>6.8920833333333334E-2</v>
      </c>
      <c r="C274" s="73" t="e">
        <f t="shared" si="4"/>
        <v>#N/A</v>
      </c>
    </row>
    <row r="275" spans="1:3">
      <c r="A275" s="5" t="str">
        <f>CoursesBasis!$F45&amp;CoursesBasis!R$2</f>
        <v>SENRS</v>
      </c>
      <c r="B275" s="62">
        <f>CoursesBasis!$R45</f>
        <v>1.89975E-2</v>
      </c>
      <c r="C275" s="73" t="e">
        <f t="shared" si="4"/>
        <v>#N/A</v>
      </c>
    </row>
    <row r="276" spans="1:3">
      <c r="A276" s="5" t="str">
        <f>CoursesBasis!$F46&amp;CoursesBasis!R$2</f>
        <v>SDNRS</v>
      </c>
      <c r="B276" s="62">
        <f>CoursesBasis!$R46</f>
        <v>3.1019097222222222E-2</v>
      </c>
      <c r="C276" s="73" t="e">
        <f t="shared" si="4"/>
        <v>#N/A</v>
      </c>
    </row>
    <row r="277" spans="1:3">
      <c r="A277" s="5" t="str">
        <f>CoursesBasis!$F47&amp;CoursesBasis!R$2</f>
        <v>LENRS</v>
      </c>
      <c r="B277" s="62">
        <f>CoursesBasis!$R47</f>
        <v>4.556944444444444E-2</v>
      </c>
      <c r="C277" s="73" t="e">
        <f t="shared" si="4"/>
        <v>#N/A</v>
      </c>
    </row>
    <row r="278" spans="1:3">
      <c r="A278" s="5" t="str">
        <f>CoursesBasis!$F48&amp;CoursesBasis!R$2</f>
        <v>LDNRS</v>
      </c>
      <c r="B278" s="62">
        <f>CoursesBasis!$R48</f>
        <v>6.3978240740740738E-2</v>
      </c>
      <c r="C278" s="73" t="e">
        <f t="shared" si="4"/>
        <v>#N/A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24</vt:i4>
      </vt:variant>
    </vt:vector>
  </HeadingPairs>
  <TitlesOfParts>
    <vt:vector size="28" baseType="lpstr">
      <vt:lpstr>Parameters</vt:lpstr>
      <vt:lpstr>Plan24h2015</vt:lpstr>
      <vt:lpstr>CoursesBasis</vt:lpstr>
      <vt:lpstr>TimeBasis</vt:lpstr>
      <vt:lpstr>BahnLaufzeiten</vt:lpstr>
      <vt:lpstr>Basis</vt:lpstr>
      <vt:lpstr>Climbfaktor</vt:lpstr>
      <vt:lpstr>CourseData</vt:lpstr>
      <vt:lpstr>Courses</vt:lpstr>
      <vt:lpstr>Dämmerung</vt:lpstr>
      <vt:lpstr>Dämmerungszeit</vt:lpstr>
      <vt:lpstr>Parameters!Druckbereich</vt:lpstr>
      <vt:lpstr>Plan24h2015!Druckbereich</vt:lpstr>
      <vt:lpstr>Plan24h2015!Drucktitel</vt:lpstr>
      <vt:lpstr>Endzeit</vt:lpstr>
      <vt:lpstr>Erm</vt:lpstr>
      <vt:lpstr>ErmP</vt:lpstr>
      <vt:lpstr>IstLaufzeiten</vt:lpstr>
      <vt:lpstr>Schwierigkeit</vt:lpstr>
      <vt:lpstr>SchwierigkeitP</vt:lpstr>
      <vt:lpstr>Staffeldauer</vt:lpstr>
      <vt:lpstr>Startzeit</vt:lpstr>
      <vt:lpstr>Teilnehmer</vt:lpstr>
      <vt:lpstr>TimeBasis</vt:lpstr>
      <vt:lpstr>tooLate</vt:lpstr>
      <vt:lpstr>Twilight</vt:lpstr>
      <vt:lpstr>Zeit</vt:lpstr>
      <vt:lpstr>Zielzeit</vt:lpstr>
    </vt:vector>
  </TitlesOfParts>
  <Company>100world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ultimative 24-h-OL Tabelle</dc:title>
  <dc:creator>Valerio Casanova;Veikko Baath</dc:creator>
  <cp:lastModifiedBy>Baath, Veikko</cp:lastModifiedBy>
  <cp:lastPrinted>2015-05-13T10:04:02Z</cp:lastPrinted>
  <dcterms:created xsi:type="dcterms:W3CDTF">2009-05-11T13:51:18Z</dcterms:created>
  <dcterms:modified xsi:type="dcterms:W3CDTF">2015-05-27T06:57:51Z</dcterms:modified>
</cp:coreProperties>
</file>