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36" yWindow="612" windowWidth="19476" windowHeight="7776" activeTab="1"/>
  </bookViews>
  <sheets>
    <sheet name="Parameters" sheetId="15" r:id="rId1"/>
    <sheet name="Plan12h2019" sheetId="12" r:id="rId2"/>
    <sheet name="CoursesBasis" sheetId="6" r:id="rId3"/>
    <sheet name="TimeBasis" sheetId="14" r:id="rId4"/>
  </sheets>
  <definedNames>
    <definedName name="_xlnm._FilterDatabase" localSheetId="1" hidden="1">Plan12h2019!$A$2:$AE$29</definedName>
    <definedName name="_xlnm._FilterDatabase" localSheetId="3" hidden="1">TimeBasis!$A$1:$D$157</definedName>
    <definedName name="BahnLaufzeiten">Plan12h2019!$H$2:$U$28</definedName>
    <definedName name="Basis">Parameters!$E$3:$F$9</definedName>
    <definedName name="Climbfaktor">Parameters!$C$29</definedName>
    <definedName name="CourseData">CoursesBasis!$F$2:$K$28</definedName>
    <definedName name="Courses">CoursesBasis!$B$2:$R$28</definedName>
    <definedName name="Dämmerung">Parameters!$C$35</definedName>
    <definedName name="Dämmerungszeit">Parameters!$C$35</definedName>
    <definedName name="_xlnm.Print_Area" localSheetId="0">Parameters!$B:$I</definedName>
    <definedName name="_xlnm.Print_Area" localSheetId="1">Plan12h2019!$A$1:$AB$28</definedName>
    <definedName name="_xlnm.Print_Titles" localSheetId="1">Plan12h2019!$A:$D,Plan12h2019!$1:$2</definedName>
    <definedName name="Endzeit">Plan12h2019!$AK$36</definedName>
    <definedName name="Erm">Parameters!$B$55:$C$62</definedName>
    <definedName name="ErmP">Parameters!$B$55:$I$62</definedName>
    <definedName name="IstLaufzeiten">Plan12h2019!$U$2:$U$28</definedName>
    <definedName name="Schwierigkeit">Parameters!$B$13:$C$25</definedName>
    <definedName name="SchwierigkeitP">Parameters!$B$13:$I$25</definedName>
    <definedName name="Staffeldauer">Parameters!$C$36</definedName>
    <definedName name="Startzeit">Parameters!$C$33</definedName>
    <definedName name="Teilnehmer">Parameters!$B$3:$E$9</definedName>
    <definedName name="TimeBasis">TimeBasis!$A$1:$B$53</definedName>
    <definedName name="tooLate">Parameters!$C$66</definedName>
    <definedName name="Twilight">Plan12h2019!$AK$35</definedName>
    <definedName name="Zeit">Parameters!$C$41:$D$47</definedName>
    <definedName name="Zielzeit">Parameters!$C$37</definedName>
  </definedNames>
  <calcPr calcId="145621"/>
</workbook>
</file>

<file path=xl/calcChain.xml><?xml version="1.0" encoding="utf-8"?>
<calcChain xmlns="http://schemas.openxmlformats.org/spreadsheetml/2006/main">
  <c r="AV27" i="12" l="1"/>
  <c r="AV28" i="12"/>
  <c r="AV29" i="12"/>
  <c r="AV30" i="12"/>
  <c r="AV26" i="12"/>
  <c r="AP28" i="12"/>
  <c r="AQ28" i="12"/>
  <c r="AP29" i="12"/>
  <c r="AQ29" i="12"/>
  <c r="AP30" i="12"/>
  <c r="AQ30" i="12"/>
  <c r="AO28" i="12"/>
  <c r="AO29" i="12"/>
  <c r="AO30" i="12"/>
  <c r="AK27" i="12"/>
  <c r="AK28" i="12"/>
  <c r="AK29" i="12"/>
  <c r="AK30" i="12"/>
  <c r="AK26" i="12"/>
  <c r="AK22" i="12"/>
  <c r="AK21" i="12"/>
  <c r="AK20" i="12"/>
  <c r="AK19" i="12"/>
  <c r="AK18" i="12"/>
  <c r="AK34" i="12" l="1"/>
  <c r="AK35" i="12"/>
  <c r="AK36" i="12"/>
  <c r="C9" i="15" l="1"/>
  <c r="AB24" i="12" l="1"/>
  <c r="AB25" i="12"/>
  <c r="AB26" i="12"/>
  <c r="AB27" i="12"/>
  <c r="AB28" i="12"/>
  <c r="AA4" i="12"/>
  <c r="AP27" i="12" s="1"/>
  <c r="AA5" i="12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3" i="12"/>
  <c r="AP26" i="12" s="1"/>
  <c r="AS4" i="12"/>
  <c r="AT4" i="12"/>
  <c r="AO6" i="12"/>
  <c r="AP6" i="12"/>
  <c r="AQ6" i="12"/>
  <c r="AR6" i="12"/>
  <c r="AS6" i="12"/>
  <c r="AT6" i="12"/>
  <c r="AO7" i="12"/>
  <c r="AP7" i="12"/>
  <c r="AQ7" i="12"/>
  <c r="AR7" i="12"/>
  <c r="AS7" i="12"/>
  <c r="AT7" i="12"/>
  <c r="AO8" i="12"/>
  <c r="AP8" i="12"/>
  <c r="AQ8" i="12"/>
  <c r="AR8" i="12"/>
  <c r="AS8" i="12"/>
  <c r="AT8" i="12"/>
  <c r="AO9" i="12"/>
  <c r="AP9" i="12"/>
  <c r="AQ9" i="12"/>
  <c r="AR9" i="12"/>
  <c r="AS9" i="12"/>
  <c r="AT9" i="12"/>
  <c r="AO10" i="12"/>
  <c r="AP10" i="12"/>
  <c r="AQ10" i="12"/>
  <c r="AR10" i="12"/>
  <c r="AS10" i="12"/>
  <c r="AT10" i="12"/>
  <c r="AO11" i="12"/>
  <c r="AP11" i="12"/>
  <c r="AQ11" i="12"/>
  <c r="AR11" i="12"/>
  <c r="AS11" i="12"/>
  <c r="AT11" i="12"/>
  <c r="AO12" i="12"/>
  <c r="AP12" i="12"/>
  <c r="AQ12" i="12"/>
  <c r="AR12" i="12"/>
  <c r="AS12" i="12"/>
  <c r="AT12" i="12"/>
  <c r="AO13" i="12"/>
  <c r="AP13" i="12"/>
  <c r="AQ13" i="12"/>
  <c r="AR13" i="12"/>
  <c r="AS13" i="12"/>
  <c r="AT13" i="12"/>
  <c r="AO14" i="12"/>
  <c r="AP14" i="12"/>
  <c r="AQ14" i="12"/>
  <c r="AR14" i="12"/>
  <c r="AS14" i="12"/>
  <c r="AT14" i="12"/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W3" i="12" l="1"/>
  <c r="W4" i="12" s="1"/>
  <c r="W5" i="12" s="1"/>
  <c r="W6" i="12" s="1"/>
  <c r="W7" i="12" s="1"/>
  <c r="W8" i="12" s="1"/>
  <c r="W9" i="12" s="1"/>
  <c r="W10" i="12" s="1"/>
  <c r="W11" i="12" s="1"/>
  <c r="W12" i="12" s="1"/>
  <c r="W13" i="12" s="1"/>
  <c r="W14" i="12" s="1"/>
  <c r="W15" i="12" s="1"/>
  <c r="W16" i="12" s="1"/>
  <c r="W17" i="12" s="1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C42" i="15"/>
  <c r="C43" i="15"/>
  <c r="C44" i="15"/>
  <c r="G28" i="12" l="1"/>
  <c r="G27" i="12"/>
  <c r="G26" i="12"/>
  <c r="G25" i="12"/>
  <c r="G24" i="12"/>
  <c r="G23" i="12"/>
  <c r="G22" i="12"/>
  <c r="G21" i="12"/>
  <c r="G20" i="12"/>
  <c r="G19" i="12"/>
  <c r="G18" i="12"/>
  <c r="G17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3" i="12"/>
  <c r="K27" i="6"/>
  <c r="K26" i="6"/>
  <c r="K25" i="6"/>
  <c r="K24" i="6"/>
  <c r="K23" i="6"/>
  <c r="K22" i="6"/>
  <c r="K17" i="6"/>
  <c r="K18" i="6"/>
  <c r="K15" i="6"/>
  <c r="K14" i="6"/>
  <c r="K13" i="6"/>
  <c r="K11" i="6"/>
  <c r="K10" i="6"/>
  <c r="K9" i="6"/>
  <c r="K5" i="6"/>
  <c r="K6" i="6"/>
  <c r="K7" i="6"/>
  <c r="K8" i="6"/>
  <c r="K12" i="6"/>
  <c r="K16" i="6"/>
  <c r="K19" i="6"/>
  <c r="K20" i="6"/>
  <c r="K21" i="6"/>
  <c r="K28" i="6"/>
  <c r="K4" i="6"/>
  <c r="K3" i="6"/>
  <c r="Z5" i="12" l="1"/>
  <c r="AB5" i="12" s="1"/>
  <c r="I5" i="12"/>
  <c r="L5" i="12"/>
  <c r="Z26" i="12"/>
  <c r="I26" i="12"/>
  <c r="M26" i="12"/>
  <c r="K26" i="12"/>
  <c r="L26" i="12"/>
  <c r="Z8" i="12"/>
  <c r="AB8" i="12" s="1"/>
  <c r="L8" i="12"/>
  <c r="I8" i="12"/>
  <c r="Z28" i="12"/>
  <c r="I28" i="12"/>
  <c r="M28" i="12"/>
  <c r="K28" i="12"/>
  <c r="L28" i="12"/>
  <c r="Z7" i="12"/>
  <c r="AB7" i="12" s="1"/>
  <c r="I7" i="12"/>
  <c r="L7" i="12"/>
  <c r="Z4" i="12"/>
  <c r="I4" i="12"/>
  <c r="L4" i="12"/>
  <c r="Z25" i="12"/>
  <c r="I25" i="12"/>
  <c r="M25" i="12"/>
  <c r="K25" i="12"/>
  <c r="L25" i="12"/>
  <c r="Z3" i="12"/>
  <c r="L3" i="12"/>
  <c r="I3" i="12"/>
  <c r="M3" i="12"/>
  <c r="Z6" i="12"/>
  <c r="AB6" i="12" s="1"/>
  <c r="L6" i="12"/>
  <c r="I6" i="12"/>
  <c r="Z24" i="12"/>
  <c r="M24" i="12"/>
  <c r="K24" i="12"/>
  <c r="L24" i="12"/>
  <c r="I24" i="12"/>
  <c r="Z27" i="12"/>
  <c r="I27" i="12"/>
  <c r="M27" i="12"/>
  <c r="K27" i="12"/>
  <c r="L27" i="12"/>
  <c r="Z23" i="12"/>
  <c r="AB23" i="12" s="1"/>
  <c r="I23" i="12"/>
  <c r="K23" i="12"/>
  <c r="L23" i="12"/>
  <c r="Z18" i="12"/>
  <c r="AB18" i="12" s="1"/>
  <c r="L18" i="12"/>
  <c r="I18" i="12"/>
  <c r="Z17" i="12"/>
  <c r="AB17" i="12" s="1"/>
  <c r="L17" i="12"/>
  <c r="I17" i="12"/>
  <c r="Z20" i="12"/>
  <c r="AB20" i="12" s="1"/>
  <c r="L20" i="12"/>
  <c r="I20" i="12"/>
  <c r="Z11" i="12"/>
  <c r="AB11" i="12" s="1"/>
  <c r="I11" i="12"/>
  <c r="L11" i="12"/>
  <c r="Z16" i="12"/>
  <c r="AB16" i="12" s="1"/>
  <c r="I16" i="12"/>
  <c r="L16" i="12"/>
  <c r="Z15" i="12"/>
  <c r="AB15" i="12" s="1"/>
  <c r="L15" i="12"/>
  <c r="I15" i="12"/>
  <c r="Z9" i="12"/>
  <c r="AB9" i="12" s="1"/>
  <c r="L9" i="12"/>
  <c r="I9" i="12"/>
  <c r="Z10" i="12"/>
  <c r="AB10" i="12" s="1"/>
  <c r="I10" i="12"/>
  <c r="L10" i="12"/>
  <c r="Z19" i="12"/>
  <c r="AB19" i="12" s="1"/>
  <c r="I19" i="12"/>
  <c r="L19" i="12"/>
  <c r="Z22" i="12"/>
  <c r="AB22" i="12" s="1"/>
  <c r="L22" i="12"/>
  <c r="I22" i="12"/>
  <c r="Z21" i="12"/>
  <c r="AB21" i="12" s="1"/>
  <c r="L21" i="12"/>
  <c r="I21" i="12"/>
  <c r="Z14" i="12"/>
  <c r="AB14" i="12" s="1"/>
  <c r="L14" i="12"/>
  <c r="I14" i="12"/>
  <c r="Z13" i="12"/>
  <c r="AB13" i="12" s="1"/>
  <c r="I13" i="12"/>
  <c r="L13" i="12"/>
  <c r="Z12" i="12"/>
  <c r="AB12" i="12" s="1"/>
  <c r="I12" i="12"/>
  <c r="L12" i="12"/>
  <c r="AQ5" i="12"/>
  <c r="AQ4" i="12"/>
  <c r="AR5" i="12"/>
  <c r="AO5" i="12"/>
  <c r="AT5" i="12"/>
  <c r="AP5" i="12"/>
  <c r="AO4" i="12"/>
  <c r="AS5" i="12"/>
  <c r="AP4" i="12"/>
  <c r="AR4" i="12"/>
  <c r="AB4" i="12" l="1"/>
  <c r="AQ27" i="12" s="1"/>
  <c r="AO27" i="12"/>
  <c r="AB3" i="12"/>
  <c r="AQ26" i="12" s="1"/>
  <c r="AO26" i="12"/>
  <c r="U29" i="12"/>
  <c r="D56" i="15" l="1"/>
  <c r="K3" i="12" s="1"/>
  <c r="E56" i="15"/>
  <c r="K4" i="12" s="1"/>
  <c r="F56" i="15"/>
  <c r="K5" i="12" s="1"/>
  <c r="G56" i="15"/>
  <c r="K6" i="12" s="1"/>
  <c r="H56" i="15"/>
  <c r="K7" i="12" s="1"/>
  <c r="I56" i="15"/>
  <c r="D57" i="15"/>
  <c r="K8" i="12" s="1"/>
  <c r="E57" i="15"/>
  <c r="F57" i="15"/>
  <c r="G57" i="15"/>
  <c r="H57" i="15"/>
  <c r="I57" i="15"/>
  <c r="D58" i="15"/>
  <c r="K13" i="12" s="1"/>
  <c r="E58" i="15"/>
  <c r="F58" i="15"/>
  <c r="G58" i="15"/>
  <c r="H58" i="15"/>
  <c r="I58" i="15"/>
  <c r="D59" i="15"/>
  <c r="K18" i="12" s="1"/>
  <c r="E59" i="15"/>
  <c r="F59" i="15"/>
  <c r="G59" i="15"/>
  <c r="H59" i="15"/>
  <c r="I59" i="15"/>
  <c r="D60" i="15"/>
  <c r="E60" i="15"/>
  <c r="F60" i="15"/>
  <c r="G60" i="15"/>
  <c r="H60" i="15"/>
  <c r="I60" i="15"/>
  <c r="D61" i="15"/>
  <c r="E61" i="15"/>
  <c r="F61" i="15"/>
  <c r="G61" i="15"/>
  <c r="H61" i="15"/>
  <c r="I61" i="15"/>
  <c r="D62" i="15"/>
  <c r="E62" i="15"/>
  <c r="F62" i="15"/>
  <c r="G62" i="15"/>
  <c r="H62" i="15"/>
  <c r="I62" i="15"/>
  <c r="C57" i="15"/>
  <c r="C58" i="15"/>
  <c r="C59" i="15"/>
  <c r="C60" i="15"/>
  <c r="C61" i="15"/>
  <c r="C62" i="15"/>
  <c r="C56" i="15"/>
  <c r="E43" i="15" l="1"/>
  <c r="T3" i="12"/>
  <c r="D4" i="12"/>
  <c r="H4" i="12" s="1"/>
  <c r="D5" i="12"/>
  <c r="H5" i="12" s="1"/>
  <c r="D6" i="12"/>
  <c r="H6" i="12" s="1"/>
  <c r="D7" i="12"/>
  <c r="H7" i="12" s="1"/>
  <c r="D8" i="12"/>
  <c r="H8" i="12" s="1"/>
  <c r="D9" i="12"/>
  <c r="H9" i="12" s="1"/>
  <c r="D10" i="12"/>
  <c r="H10" i="12" s="1"/>
  <c r="D11" i="12"/>
  <c r="H11" i="12" s="1"/>
  <c r="D12" i="12"/>
  <c r="H12" i="12" s="1"/>
  <c r="D13" i="12"/>
  <c r="H13" i="12" s="1"/>
  <c r="D14" i="12"/>
  <c r="H14" i="12" s="1"/>
  <c r="D15" i="12"/>
  <c r="H15" i="12" s="1"/>
  <c r="D16" i="12"/>
  <c r="H16" i="12" s="1"/>
  <c r="D17" i="12"/>
  <c r="H17" i="12" s="1"/>
  <c r="D18" i="12"/>
  <c r="H18" i="12" s="1"/>
  <c r="D19" i="12"/>
  <c r="H19" i="12" s="1"/>
  <c r="D20" i="12"/>
  <c r="H20" i="12" s="1"/>
  <c r="D21" i="12"/>
  <c r="H21" i="12" s="1"/>
  <c r="D22" i="12"/>
  <c r="H22" i="12" s="1"/>
  <c r="D23" i="12"/>
  <c r="H24" i="12"/>
  <c r="H25" i="12"/>
  <c r="H26" i="12"/>
  <c r="H27" i="12"/>
  <c r="H28" i="12"/>
  <c r="D3" i="12"/>
  <c r="H3" i="12" s="1"/>
  <c r="C4" i="12"/>
  <c r="AG19" i="12" s="1"/>
  <c r="C5" i="12"/>
  <c r="AG20" i="12" s="1"/>
  <c r="C6" i="12"/>
  <c r="AG21" i="12" s="1"/>
  <c r="C7" i="12"/>
  <c r="C8" i="12"/>
  <c r="C3" i="12"/>
  <c r="AG18" i="12" s="1"/>
  <c r="C8" i="15"/>
  <c r="C7" i="15"/>
  <c r="C6" i="15"/>
  <c r="C5" i="15"/>
  <c r="C4" i="15"/>
  <c r="I55" i="15"/>
  <c r="H55" i="15"/>
  <c r="G55" i="15"/>
  <c r="F55" i="15"/>
  <c r="E55" i="15"/>
  <c r="D55" i="15"/>
  <c r="I51" i="15"/>
  <c r="H51" i="15"/>
  <c r="G51" i="15"/>
  <c r="F51" i="15"/>
  <c r="E51" i="15"/>
  <c r="D51" i="15"/>
  <c r="I13" i="15"/>
  <c r="H13" i="15"/>
  <c r="F13" i="15"/>
  <c r="E13" i="15"/>
  <c r="D13" i="15"/>
  <c r="M2" i="6" s="1"/>
  <c r="M3" i="6" s="1"/>
  <c r="G13" i="15"/>
  <c r="H23" i="12" l="1"/>
  <c r="AM28" i="12"/>
  <c r="AR28" i="12" s="1"/>
  <c r="AM29" i="12"/>
  <c r="AR29" i="12" s="1"/>
  <c r="AM26" i="12"/>
  <c r="AR26" i="12" s="1"/>
  <c r="AM30" i="12"/>
  <c r="AR30" i="12" s="1"/>
  <c r="AM27" i="12"/>
  <c r="AR27" i="12" s="1"/>
  <c r="AG22" i="12"/>
  <c r="AG30" i="12"/>
  <c r="A132" i="14"/>
  <c r="C132" i="14" s="1"/>
  <c r="A12" i="14"/>
  <c r="C12" i="14" s="1"/>
  <c r="A30" i="14"/>
  <c r="C30" i="14" s="1"/>
  <c r="A60" i="14"/>
  <c r="A114" i="14"/>
  <c r="C114" i="14" s="1"/>
  <c r="A90" i="14"/>
  <c r="C90" i="14" s="1"/>
  <c r="A108" i="14"/>
  <c r="C108" i="14" s="1"/>
  <c r="A138" i="14"/>
  <c r="A156" i="14"/>
  <c r="C156" i="14" s="1"/>
  <c r="A36" i="14"/>
  <c r="C36" i="14" s="1"/>
  <c r="A54" i="14"/>
  <c r="A66" i="14"/>
  <c r="C66" i="14" s="1"/>
  <c r="A84" i="14"/>
  <c r="C84" i="14" s="1"/>
  <c r="A150" i="14"/>
  <c r="A18" i="14"/>
  <c r="A48" i="14"/>
  <c r="C48" i="14" s="1"/>
  <c r="A6" i="14"/>
  <c r="C6" i="14" s="1"/>
  <c r="A78" i="14"/>
  <c r="C78" i="14" s="1"/>
  <c r="A96" i="14"/>
  <c r="A144" i="14"/>
  <c r="A24" i="14"/>
  <c r="C24" i="14" s="1"/>
  <c r="A42" i="14"/>
  <c r="C42" i="14" s="1"/>
  <c r="A120" i="14"/>
  <c r="C120" i="14" s="1"/>
  <c r="A72" i="14"/>
  <c r="C72" i="14" s="1"/>
  <c r="A102" i="14"/>
  <c r="C102" i="14" s="1"/>
  <c r="M27" i="6"/>
  <c r="B102" i="14" s="1"/>
  <c r="M25" i="6"/>
  <c r="B90" i="14" s="1"/>
  <c r="M26" i="6"/>
  <c r="B96" i="14" s="1"/>
  <c r="M23" i="6"/>
  <c r="B78" i="14" s="1"/>
  <c r="M24" i="6"/>
  <c r="B84" i="14" s="1"/>
  <c r="M22" i="6"/>
  <c r="B72" i="14" s="1"/>
  <c r="M18" i="6"/>
  <c r="B6" i="14" s="1"/>
  <c r="M17" i="6"/>
  <c r="B60" i="14" s="1"/>
  <c r="M13" i="6"/>
  <c r="B36" i="14" s="1"/>
  <c r="M14" i="6"/>
  <c r="B42" i="14" s="1"/>
  <c r="M15" i="6"/>
  <c r="B48" i="14" s="1"/>
  <c r="M10" i="6"/>
  <c r="B18" i="14" s="1"/>
  <c r="M11" i="6"/>
  <c r="B24" i="14" s="1"/>
  <c r="A126" i="14"/>
  <c r="C126" i="14" s="1"/>
  <c r="M9" i="6"/>
  <c r="B12" i="14" s="1"/>
  <c r="M6" i="6"/>
  <c r="B144" i="14" s="1"/>
  <c r="M5" i="6"/>
  <c r="B138" i="14" s="1"/>
  <c r="M7" i="6"/>
  <c r="B150" i="14" s="1"/>
  <c r="R2" i="6"/>
  <c r="R3" i="6" s="1"/>
  <c r="Q2" i="6"/>
  <c r="Q3" i="6" s="1"/>
  <c r="P2" i="6"/>
  <c r="P3" i="6" s="1"/>
  <c r="O2" i="6"/>
  <c r="O3" i="6" s="1"/>
  <c r="N2" i="6"/>
  <c r="N3" i="6" s="1"/>
  <c r="C138" i="14" l="1"/>
  <c r="D138" i="14" s="1"/>
  <c r="D36" i="14"/>
  <c r="D90" i="14"/>
  <c r="AT30" i="12"/>
  <c r="D84" i="14"/>
  <c r="D48" i="14"/>
  <c r="D6" i="14"/>
  <c r="D24" i="14"/>
  <c r="D12" i="14"/>
  <c r="D72" i="14"/>
  <c r="D78" i="14"/>
  <c r="D42" i="14"/>
  <c r="D102" i="14"/>
  <c r="A145" i="14"/>
  <c r="C145" i="14" s="1"/>
  <c r="A19" i="14"/>
  <c r="A43" i="14"/>
  <c r="C43" i="14" s="1"/>
  <c r="A7" i="14"/>
  <c r="A73" i="14"/>
  <c r="C73" i="14" s="1"/>
  <c r="A97" i="14"/>
  <c r="C97" i="14" s="1"/>
  <c r="A151" i="14"/>
  <c r="A25" i="14"/>
  <c r="A49" i="14"/>
  <c r="A121" i="14"/>
  <c r="C121" i="14" s="1"/>
  <c r="A79" i="14"/>
  <c r="C79" i="14" s="1"/>
  <c r="A103" i="14"/>
  <c r="A139" i="14"/>
  <c r="C139" i="14" s="1"/>
  <c r="A37" i="14"/>
  <c r="A67" i="14"/>
  <c r="C67" i="14" s="1"/>
  <c r="A127" i="14"/>
  <c r="C127" i="14" s="1"/>
  <c r="A157" i="14"/>
  <c r="C157" i="14" s="1"/>
  <c r="A55" i="14"/>
  <c r="C55" i="14" s="1"/>
  <c r="A85" i="14"/>
  <c r="C85" i="14" s="1"/>
  <c r="A13" i="14"/>
  <c r="C13" i="14" s="1"/>
  <c r="A91" i="14"/>
  <c r="C91" i="14" s="1"/>
  <c r="A133" i="14"/>
  <c r="C133" i="14" s="1"/>
  <c r="A31" i="14"/>
  <c r="C31" i="14" s="1"/>
  <c r="A115" i="14"/>
  <c r="C115" i="14" s="1"/>
  <c r="A109" i="14"/>
  <c r="C109" i="14" s="1"/>
  <c r="A61" i="14"/>
  <c r="C61" i="14" s="1"/>
  <c r="A148" i="14"/>
  <c r="C148" i="14" s="1"/>
  <c r="A16" i="14"/>
  <c r="C16" i="14" s="1"/>
  <c r="A46" i="14"/>
  <c r="C46" i="14" s="1"/>
  <c r="A4" i="14"/>
  <c r="C4" i="14" s="1"/>
  <c r="A76" i="14"/>
  <c r="A94" i="14"/>
  <c r="C94" i="14" s="1"/>
  <c r="A136" i="14"/>
  <c r="A154" i="14"/>
  <c r="A34" i="14"/>
  <c r="C34" i="14" s="1"/>
  <c r="A52" i="14"/>
  <c r="C52" i="14" s="1"/>
  <c r="A64" i="14"/>
  <c r="A82" i="14"/>
  <c r="C82" i="14" s="1"/>
  <c r="A28" i="14"/>
  <c r="C28" i="14" s="1"/>
  <c r="A58" i="14"/>
  <c r="C58" i="14" s="1"/>
  <c r="A106" i="14"/>
  <c r="A40" i="14"/>
  <c r="C40" i="14" s="1"/>
  <c r="A118" i="14"/>
  <c r="A124" i="14"/>
  <c r="C124" i="14" s="1"/>
  <c r="A142" i="14"/>
  <c r="C142" i="14" s="1"/>
  <c r="A22" i="14"/>
  <c r="C22" i="14" s="1"/>
  <c r="A70" i="14"/>
  <c r="C70" i="14" s="1"/>
  <c r="A100" i="14"/>
  <c r="C100" i="14" s="1"/>
  <c r="A130" i="14"/>
  <c r="C130" i="14" s="1"/>
  <c r="A10" i="14"/>
  <c r="C10" i="14" s="1"/>
  <c r="A112" i="14"/>
  <c r="C112" i="14" s="1"/>
  <c r="A88" i="14"/>
  <c r="C88" i="14" s="1"/>
  <c r="A137" i="14"/>
  <c r="C137" i="14" s="1"/>
  <c r="A11" i="14"/>
  <c r="C11" i="14" s="1"/>
  <c r="A35" i="14"/>
  <c r="C35" i="14" s="1"/>
  <c r="A59" i="14"/>
  <c r="C59" i="14" s="1"/>
  <c r="A65" i="14"/>
  <c r="A89" i="14"/>
  <c r="A125" i="14"/>
  <c r="C125" i="14" s="1"/>
  <c r="A143" i="14"/>
  <c r="A17" i="14"/>
  <c r="C17" i="14" s="1"/>
  <c r="A41" i="14"/>
  <c r="C41" i="14" s="1"/>
  <c r="A5" i="14"/>
  <c r="C5" i="14" s="1"/>
  <c r="A71" i="14"/>
  <c r="C71" i="14" s="1"/>
  <c r="A95" i="14"/>
  <c r="C95" i="14" s="1"/>
  <c r="A131" i="14"/>
  <c r="A155" i="14"/>
  <c r="C155" i="14" s="1"/>
  <c r="A29" i="14"/>
  <c r="C29" i="14" s="1"/>
  <c r="A53" i="14"/>
  <c r="C53" i="14" s="1"/>
  <c r="A113" i="14"/>
  <c r="C113" i="14" s="1"/>
  <c r="A83" i="14"/>
  <c r="C83" i="14" s="1"/>
  <c r="A107" i="14"/>
  <c r="C107" i="14" s="1"/>
  <c r="A119" i="14"/>
  <c r="C119" i="14" s="1"/>
  <c r="A149" i="14"/>
  <c r="C149" i="14" s="1"/>
  <c r="A77" i="14"/>
  <c r="A47" i="14"/>
  <c r="C47" i="14" s="1"/>
  <c r="A23" i="14"/>
  <c r="C23" i="14" s="1"/>
  <c r="A101" i="14"/>
  <c r="C101" i="14" s="1"/>
  <c r="A129" i="14"/>
  <c r="C129" i="14" s="1"/>
  <c r="A153" i="14"/>
  <c r="C153" i="14" s="1"/>
  <c r="A27" i="14"/>
  <c r="A51" i="14"/>
  <c r="C51" i="14" s="1"/>
  <c r="A111" i="14"/>
  <c r="A81" i="14"/>
  <c r="C81" i="14" s="1"/>
  <c r="A105" i="14"/>
  <c r="C105" i="14" s="1"/>
  <c r="A135" i="14"/>
  <c r="C135" i="14" s="1"/>
  <c r="A9" i="14"/>
  <c r="C9" i="14" s="1"/>
  <c r="A33" i="14"/>
  <c r="C33" i="14" s="1"/>
  <c r="A57" i="14"/>
  <c r="C57" i="14" s="1"/>
  <c r="A63" i="14"/>
  <c r="C63" i="14" s="1"/>
  <c r="A87" i="14"/>
  <c r="C87" i="14" s="1"/>
  <c r="A123" i="14"/>
  <c r="C123" i="14" s="1"/>
  <c r="A147" i="14"/>
  <c r="C147" i="14" s="1"/>
  <c r="A45" i="14"/>
  <c r="C45" i="14" s="1"/>
  <c r="A75" i="14"/>
  <c r="C75" i="14" s="1"/>
  <c r="A15" i="14"/>
  <c r="C15" i="14" s="1"/>
  <c r="A3" i="14"/>
  <c r="C3" i="14" s="1"/>
  <c r="A93" i="14"/>
  <c r="C93" i="14" s="1"/>
  <c r="A117" i="14"/>
  <c r="C117" i="14" s="1"/>
  <c r="A141" i="14"/>
  <c r="C141" i="14" s="1"/>
  <c r="A39" i="14"/>
  <c r="C39" i="14" s="1"/>
  <c r="A69" i="14"/>
  <c r="A21" i="14"/>
  <c r="A99" i="14"/>
  <c r="C99" i="14" s="1"/>
  <c r="A146" i="14"/>
  <c r="C146" i="14" s="1"/>
  <c r="A20" i="14"/>
  <c r="C20" i="14" s="1"/>
  <c r="A44" i="14"/>
  <c r="C44" i="14" s="1"/>
  <c r="A116" i="14"/>
  <c r="C116" i="14" s="1"/>
  <c r="A74" i="14"/>
  <c r="C74" i="14" s="1"/>
  <c r="A98" i="14"/>
  <c r="C98" i="14" s="1"/>
  <c r="A128" i="14"/>
  <c r="C128" i="14" s="1"/>
  <c r="A152" i="14"/>
  <c r="C152" i="14" s="1"/>
  <c r="A26" i="14"/>
  <c r="C26" i="14" s="1"/>
  <c r="A50" i="14"/>
  <c r="C50" i="14" s="1"/>
  <c r="A110" i="14"/>
  <c r="C110" i="14" s="1"/>
  <c r="A80" i="14"/>
  <c r="A104" i="14"/>
  <c r="C104" i="14" s="1"/>
  <c r="A140" i="14"/>
  <c r="C140" i="14" s="1"/>
  <c r="A14" i="14"/>
  <c r="C14" i="14" s="1"/>
  <c r="A38" i="14"/>
  <c r="A2" i="14"/>
  <c r="C2" i="14" s="1"/>
  <c r="A68" i="14"/>
  <c r="C68" i="14" s="1"/>
  <c r="A92" i="14"/>
  <c r="C92" i="14" s="1"/>
  <c r="A32" i="14"/>
  <c r="C32" i="14" s="1"/>
  <c r="A56" i="14"/>
  <c r="C56" i="14" s="1"/>
  <c r="A8" i="14"/>
  <c r="A86" i="14"/>
  <c r="C86" i="14" s="1"/>
  <c r="A122" i="14"/>
  <c r="C122" i="14" s="1"/>
  <c r="A134" i="14"/>
  <c r="C134" i="14" s="1"/>
  <c r="A62" i="14"/>
  <c r="C62" i="14" s="1"/>
  <c r="N27" i="6"/>
  <c r="B103" i="14" s="1"/>
  <c r="P27" i="6"/>
  <c r="B100" i="14" s="1"/>
  <c r="R27" i="6"/>
  <c r="B101" i="14" s="1"/>
  <c r="O27" i="6"/>
  <c r="B99" i="14" s="1"/>
  <c r="Q27" i="6"/>
  <c r="B98" i="14" s="1"/>
  <c r="O25" i="6"/>
  <c r="B87" i="14" s="1"/>
  <c r="O26" i="6"/>
  <c r="B93" i="14" s="1"/>
  <c r="Q25" i="6"/>
  <c r="B86" i="14" s="1"/>
  <c r="Q26" i="6"/>
  <c r="B92" i="14" s="1"/>
  <c r="N25" i="6"/>
  <c r="B91" i="14" s="1"/>
  <c r="N26" i="6"/>
  <c r="B97" i="14" s="1"/>
  <c r="P25" i="6"/>
  <c r="B88" i="14" s="1"/>
  <c r="P26" i="6"/>
  <c r="B94" i="14" s="1"/>
  <c r="R25" i="6"/>
  <c r="B89" i="14" s="1"/>
  <c r="R26" i="6"/>
  <c r="B95" i="14" s="1"/>
  <c r="N22" i="6"/>
  <c r="B73" i="14" s="1"/>
  <c r="D73" i="14" s="1"/>
  <c r="N24" i="6"/>
  <c r="B85" i="14" s="1"/>
  <c r="D85" i="14" s="1"/>
  <c r="N23" i="6"/>
  <c r="B79" i="14" s="1"/>
  <c r="P22" i="6"/>
  <c r="B70" i="14" s="1"/>
  <c r="P24" i="6"/>
  <c r="B82" i="14" s="1"/>
  <c r="D82" i="14" s="1"/>
  <c r="P23" i="6"/>
  <c r="B76" i="14" s="1"/>
  <c r="R22" i="6"/>
  <c r="B71" i="14" s="1"/>
  <c r="R24" i="6"/>
  <c r="B83" i="14" s="1"/>
  <c r="R23" i="6"/>
  <c r="B77" i="14" s="1"/>
  <c r="O22" i="6"/>
  <c r="B69" i="14" s="1"/>
  <c r="O24" i="6"/>
  <c r="B81" i="14" s="1"/>
  <c r="O23" i="6"/>
  <c r="B75" i="14" s="1"/>
  <c r="Q22" i="6"/>
  <c r="B68" i="14" s="1"/>
  <c r="Q23" i="6"/>
  <c r="B74" i="14" s="1"/>
  <c r="Q24" i="6"/>
  <c r="B80" i="14" s="1"/>
  <c r="O18" i="6"/>
  <c r="B3" i="14" s="1"/>
  <c r="D3" i="14" s="1"/>
  <c r="O17" i="6"/>
  <c r="B57" i="14" s="1"/>
  <c r="N18" i="6"/>
  <c r="B7" i="14" s="1"/>
  <c r="N17" i="6"/>
  <c r="B61" i="14" s="1"/>
  <c r="P18" i="6"/>
  <c r="B4" i="14" s="1"/>
  <c r="P17" i="6"/>
  <c r="B58" i="14" s="1"/>
  <c r="R18" i="6"/>
  <c r="B5" i="14" s="1"/>
  <c r="D5" i="14" s="1"/>
  <c r="R17" i="6"/>
  <c r="B59" i="14" s="1"/>
  <c r="D59" i="14" s="1"/>
  <c r="Q18" i="6"/>
  <c r="B2" i="14" s="1"/>
  <c r="Q17" i="6"/>
  <c r="B56" i="14" s="1"/>
  <c r="O13" i="6"/>
  <c r="B33" i="14" s="1"/>
  <c r="O15" i="6"/>
  <c r="B45" i="14" s="1"/>
  <c r="O14" i="6"/>
  <c r="B39" i="14" s="1"/>
  <c r="Q13" i="6"/>
  <c r="B32" i="14" s="1"/>
  <c r="Q14" i="6"/>
  <c r="B38" i="14" s="1"/>
  <c r="Q15" i="6"/>
  <c r="B44" i="14" s="1"/>
  <c r="N13" i="6"/>
  <c r="B37" i="14" s="1"/>
  <c r="N15" i="6"/>
  <c r="B49" i="14" s="1"/>
  <c r="N14" i="6"/>
  <c r="B43" i="14" s="1"/>
  <c r="D43" i="14" s="1"/>
  <c r="P13" i="6"/>
  <c r="B34" i="14" s="1"/>
  <c r="P15" i="6"/>
  <c r="B46" i="14" s="1"/>
  <c r="P14" i="6"/>
  <c r="B40" i="14" s="1"/>
  <c r="R13" i="6"/>
  <c r="B35" i="14" s="1"/>
  <c r="D35" i="14" s="1"/>
  <c r="R15" i="6"/>
  <c r="B47" i="14" s="1"/>
  <c r="R14" i="6"/>
  <c r="B41" i="14" s="1"/>
  <c r="N11" i="6"/>
  <c r="B25" i="14" s="1"/>
  <c r="N10" i="6"/>
  <c r="B19" i="14" s="1"/>
  <c r="P11" i="6"/>
  <c r="B22" i="14" s="1"/>
  <c r="P10" i="6"/>
  <c r="B16" i="14" s="1"/>
  <c r="D16" i="14" s="1"/>
  <c r="R11" i="6"/>
  <c r="B23" i="14" s="1"/>
  <c r="R10" i="6"/>
  <c r="B17" i="14" s="1"/>
  <c r="O11" i="6"/>
  <c r="B21" i="14" s="1"/>
  <c r="O10" i="6"/>
  <c r="B15" i="14" s="1"/>
  <c r="Q10" i="6"/>
  <c r="B14" i="14" s="1"/>
  <c r="Q11" i="6"/>
  <c r="B20" i="14" s="1"/>
  <c r="O4" i="6"/>
  <c r="B129" i="14" s="1"/>
  <c r="O9" i="6"/>
  <c r="B9" i="14" s="1"/>
  <c r="Q4" i="6"/>
  <c r="B128" i="14" s="1"/>
  <c r="Q9" i="6"/>
  <c r="B8" i="14" s="1"/>
  <c r="N9" i="6"/>
  <c r="B13" i="14" s="1"/>
  <c r="N4" i="6"/>
  <c r="B133" i="14" s="1"/>
  <c r="N16" i="6"/>
  <c r="B55" i="14" s="1"/>
  <c r="D55" i="14" s="1"/>
  <c r="N19" i="6"/>
  <c r="B121" i="14" s="1"/>
  <c r="N12" i="6"/>
  <c r="B31" i="14" s="1"/>
  <c r="N28" i="6"/>
  <c r="B109" i="14" s="1"/>
  <c r="N6" i="6"/>
  <c r="B145" i="14" s="1"/>
  <c r="N7" i="6"/>
  <c r="B151" i="14" s="1"/>
  <c r="N5" i="6"/>
  <c r="B139" i="14" s="1"/>
  <c r="D139" i="14" s="1"/>
  <c r="N21" i="6"/>
  <c r="B67" i="14" s="1"/>
  <c r="N20" i="6"/>
  <c r="B115" i="14" s="1"/>
  <c r="N8" i="6"/>
  <c r="B157" i="14" s="1"/>
  <c r="P9" i="6"/>
  <c r="B10" i="14" s="1"/>
  <c r="P4" i="6"/>
  <c r="B130" i="14" s="1"/>
  <c r="R9" i="6"/>
  <c r="B11" i="14" s="1"/>
  <c r="D11" i="14" s="1"/>
  <c r="R4" i="6"/>
  <c r="B131" i="14" s="1"/>
  <c r="O5" i="6"/>
  <c r="B135" i="14" s="1"/>
  <c r="O7" i="6"/>
  <c r="B147" i="14" s="1"/>
  <c r="O6" i="6"/>
  <c r="B141" i="14" s="1"/>
  <c r="Q5" i="6"/>
  <c r="B134" i="14" s="1"/>
  <c r="Q6" i="6"/>
  <c r="B140" i="14" s="1"/>
  <c r="Q7" i="6"/>
  <c r="B146" i="14" s="1"/>
  <c r="P5" i="6"/>
  <c r="B136" i="14" s="1"/>
  <c r="P7" i="6"/>
  <c r="B148" i="14" s="1"/>
  <c r="P6" i="6"/>
  <c r="B142" i="14" s="1"/>
  <c r="R5" i="6"/>
  <c r="B137" i="14" s="1"/>
  <c r="R7" i="6"/>
  <c r="B149" i="14" s="1"/>
  <c r="D149" i="14" s="1"/>
  <c r="R6" i="6"/>
  <c r="B143" i="14" s="1"/>
  <c r="E44" i="15"/>
  <c r="E45" i="15"/>
  <c r="E46" i="15"/>
  <c r="E47" i="15"/>
  <c r="E42" i="15"/>
  <c r="D81" i="14" l="1"/>
  <c r="D39" i="14"/>
  <c r="D145" i="14"/>
  <c r="D95" i="14"/>
  <c r="D146" i="14"/>
  <c r="D130" i="14"/>
  <c r="D109" i="14"/>
  <c r="D40" i="14"/>
  <c r="D2" i="14"/>
  <c r="D135" i="14"/>
  <c r="D4" i="14"/>
  <c r="D97" i="14"/>
  <c r="D46" i="14"/>
  <c r="D142" i="14"/>
  <c r="D148" i="14"/>
  <c r="D34" i="14"/>
  <c r="D79" i="14"/>
  <c r="D91" i="14"/>
  <c r="D10" i="14"/>
  <c r="D61" i="14"/>
  <c r="D121" i="14"/>
  <c r="D23" i="14"/>
  <c r="D68" i="14"/>
  <c r="D157" i="14"/>
  <c r="D141" i="14"/>
  <c r="D13" i="14"/>
  <c r="D47" i="14"/>
  <c r="D32" i="14"/>
  <c r="D88" i="14"/>
  <c r="D57" i="14"/>
  <c r="D44" i="14"/>
  <c r="D87" i="14"/>
  <c r="D92" i="14"/>
  <c r="D22" i="14"/>
  <c r="D20" i="14"/>
  <c r="D101" i="14"/>
  <c r="D137" i="14"/>
  <c r="D147" i="14"/>
  <c r="D133" i="14"/>
  <c r="D41" i="14"/>
  <c r="D93" i="14"/>
  <c r="D71" i="14"/>
  <c r="D17" i="14"/>
  <c r="D74" i="14"/>
  <c r="D128" i="14"/>
  <c r="D9" i="14"/>
  <c r="D31" i="14"/>
  <c r="D129" i="14"/>
  <c r="D75" i="14"/>
  <c r="D70" i="14"/>
  <c r="D67" i="14"/>
  <c r="D83" i="14"/>
  <c r="D94" i="14"/>
  <c r="D98" i="14"/>
  <c r="D99" i="14"/>
  <c r="D100" i="14"/>
  <c r="D58" i="14"/>
  <c r="D115" i="14"/>
  <c r="D15" i="14"/>
  <c r="D140" i="14"/>
  <c r="D33" i="14"/>
  <c r="D45" i="14"/>
  <c r="D134" i="14"/>
  <c r="D14" i="14"/>
  <c r="D56" i="14"/>
  <c r="D86" i="14"/>
  <c r="O8" i="6"/>
  <c r="B153" i="14" s="1"/>
  <c r="D153" i="14" s="1"/>
  <c r="M12" i="6"/>
  <c r="B30" i="14" s="1"/>
  <c r="D30" i="14" s="1"/>
  <c r="R16" i="6"/>
  <c r="B53" i="14" s="1"/>
  <c r="D53" i="14" s="1"/>
  <c r="O28" i="6"/>
  <c r="B105" i="14" s="1"/>
  <c r="D105" i="14" s="1"/>
  <c r="AH3" i="12"/>
  <c r="K9" i="12"/>
  <c r="K10" i="12"/>
  <c r="K11" i="12"/>
  <c r="K12" i="12"/>
  <c r="K14" i="12"/>
  <c r="AG27" i="12"/>
  <c r="AT27" i="12" s="1"/>
  <c r="AG28" i="12"/>
  <c r="AT28" i="12" s="1"/>
  <c r="AG29" i="12"/>
  <c r="AT29" i="12" s="1"/>
  <c r="AG26" i="12"/>
  <c r="AT26" i="12" s="1"/>
  <c r="C37" i="15"/>
  <c r="C35" i="15"/>
  <c r="C47" i="15"/>
  <c r="C46" i="15"/>
  <c r="C45" i="15"/>
  <c r="AI3" i="12"/>
  <c r="AI4" i="12"/>
  <c r="AI5" i="12"/>
  <c r="AI6" i="12"/>
  <c r="AI7" i="12"/>
  <c r="AI8" i="12"/>
  <c r="AI9" i="12"/>
  <c r="AI10" i="12"/>
  <c r="AI11" i="12"/>
  <c r="AI12" i="12"/>
  <c r="AI13" i="12"/>
  <c r="AI14" i="12"/>
  <c r="AT32" i="12" l="1"/>
  <c r="AQ3" i="12"/>
  <c r="AQ15" i="12" s="1"/>
  <c r="AT3" i="12"/>
  <c r="AT15" i="12" s="1"/>
  <c r="AR3" i="12"/>
  <c r="AR15" i="12" s="1"/>
  <c r="AS3" i="12"/>
  <c r="AS15" i="12" s="1"/>
  <c r="AP3" i="12"/>
  <c r="AP15" i="12" s="1"/>
  <c r="AO3" i="12"/>
  <c r="AO15" i="12" s="1"/>
  <c r="AL11" i="12"/>
  <c r="AM11" i="12"/>
  <c r="AN11" i="12"/>
  <c r="AK11" i="12"/>
  <c r="AK12" i="12"/>
  <c r="AL12" i="12"/>
  <c r="AM12" i="12"/>
  <c r="AN12" i="12"/>
  <c r="AK8" i="12"/>
  <c r="AL8" i="12"/>
  <c r="AM8" i="12"/>
  <c r="AN8" i="12"/>
  <c r="AK4" i="12"/>
  <c r="AL4" i="12"/>
  <c r="AM4" i="12"/>
  <c r="AN4" i="12"/>
  <c r="AM14" i="12"/>
  <c r="AN14" i="12"/>
  <c r="AL14" i="12"/>
  <c r="AK14" i="12"/>
  <c r="AM10" i="12"/>
  <c r="AN10" i="12"/>
  <c r="AK10" i="12"/>
  <c r="AL10" i="12"/>
  <c r="AM6" i="12"/>
  <c r="AN6" i="12"/>
  <c r="AK6" i="12"/>
  <c r="AL6" i="12"/>
  <c r="AM3" i="12"/>
  <c r="AN3" i="12"/>
  <c r="AL3" i="12"/>
  <c r="AK3" i="12"/>
  <c r="AL7" i="12"/>
  <c r="AM7" i="12"/>
  <c r="AN7" i="12"/>
  <c r="AK7" i="12"/>
  <c r="AN13" i="12"/>
  <c r="AK13" i="12"/>
  <c r="AM13" i="12"/>
  <c r="AL13" i="12"/>
  <c r="AN9" i="12"/>
  <c r="AK9" i="12"/>
  <c r="AL9" i="12"/>
  <c r="AM9" i="12"/>
  <c r="AN5" i="12"/>
  <c r="AK5" i="12"/>
  <c r="AL5" i="12"/>
  <c r="AM5" i="12"/>
  <c r="AJ9" i="12"/>
  <c r="AJ7" i="12"/>
  <c r="AJ14" i="12"/>
  <c r="AJ10" i="12"/>
  <c r="AJ6" i="12"/>
  <c r="AJ13" i="12"/>
  <c r="AJ12" i="12"/>
  <c r="AJ8" i="12"/>
  <c r="AJ4" i="12"/>
  <c r="AJ5" i="12"/>
  <c r="AJ11" i="12"/>
  <c r="AJ3" i="12"/>
  <c r="M4" i="6"/>
  <c r="B132" i="14" s="1"/>
  <c r="D132" i="14" s="1"/>
  <c r="K19" i="12"/>
  <c r="T4" i="12"/>
  <c r="K15" i="12"/>
  <c r="K20" i="12"/>
  <c r="K17" i="12"/>
  <c r="K16" i="12"/>
  <c r="Q21" i="6"/>
  <c r="B62" i="14" s="1"/>
  <c r="D62" i="14" s="1"/>
  <c r="O12" i="6"/>
  <c r="B27" i="14" s="1"/>
  <c r="R21" i="6"/>
  <c r="B65" i="14" s="1"/>
  <c r="P12" i="6"/>
  <c r="B28" i="14" s="1"/>
  <c r="D28" i="14" s="1"/>
  <c r="P21" i="6"/>
  <c r="B64" i="14" s="1"/>
  <c r="R12" i="6"/>
  <c r="B29" i="14" s="1"/>
  <c r="D29" i="14" s="1"/>
  <c r="O21" i="6"/>
  <c r="B63" i="14" s="1"/>
  <c r="D63" i="14" s="1"/>
  <c r="Q12" i="6"/>
  <c r="B26" i="14" s="1"/>
  <c r="D26" i="14" s="1"/>
  <c r="M8" i="6"/>
  <c r="B156" i="14" s="1"/>
  <c r="D156" i="14" s="1"/>
  <c r="R28" i="6"/>
  <c r="B107" i="14" s="1"/>
  <c r="D107" i="14" s="1"/>
  <c r="P8" i="6"/>
  <c r="B154" i="14" s="1"/>
  <c r="P16" i="6"/>
  <c r="B52" i="14" s="1"/>
  <c r="D52" i="14" s="1"/>
  <c r="M21" i="6"/>
  <c r="B66" i="14" s="1"/>
  <c r="D66" i="14" s="1"/>
  <c r="M20" i="6"/>
  <c r="B114" i="14" s="1"/>
  <c r="D114" i="14" s="1"/>
  <c r="Q28" i="6"/>
  <c r="B104" i="14" s="1"/>
  <c r="D104" i="14" s="1"/>
  <c r="Q8" i="6"/>
  <c r="B152" i="14" s="1"/>
  <c r="D152" i="14" s="1"/>
  <c r="M16" i="6"/>
  <c r="B54" i="14" s="1"/>
  <c r="P28" i="6"/>
  <c r="B106" i="14" s="1"/>
  <c r="R8" i="6"/>
  <c r="B155" i="14" s="1"/>
  <c r="D155" i="14" s="1"/>
  <c r="O16" i="6"/>
  <c r="B51" i="14" s="1"/>
  <c r="D51" i="14" s="1"/>
  <c r="Q16" i="6"/>
  <c r="B50" i="14" s="1"/>
  <c r="D50" i="14" s="1"/>
  <c r="M28" i="6"/>
  <c r="B108" i="14" s="1"/>
  <c r="D108" i="14" s="1"/>
  <c r="AI15" i="12"/>
  <c r="R20" i="6"/>
  <c r="B113" i="14" s="1"/>
  <c r="D113" i="14" s="1"/>
  <c r="O20" i="6"/>
  <c r="B111" i="14" s="1"/>
  <c r="Q20" i="6"/>
  <c r="B110" i="14" s="1"/>
  <c r="D110" i="14" s="1"/>
  <c r="Q19" i="6"/>
  <c r="B116" i="14" s="1"/>
  <c r="D116" i="14" s="1"/>
  <c r="M19" i="6"/>
  <c r="B120" i="14" s="1"/>
  <c r="D120" i="14" s="1"/>
  <c r="R19" i="6"/>
  <c r="B119" i="14" s="1"/>
  <c r="D119" i="14" s="1"/>
  <c r="P19" i="6"/>
  <c r="B118" i="14" s="1"/>
  <c r="O19" i="6"/>
  <c r="B117" i="14" s="1"/>
  <c r="D117" i="14" s="1"/>
  <c r="T5" i="12" l="1"/>
  <c r="C49" i="14"/>
  <c r="D49" i="14" s="1"/>
  <c r="AM15" i="12"/>
  <c r="AK15" i="12"/>
  <c r="AL15" i="12"/>
  <c r="AN15" i="12"/>
  <c r="AJ15" i="12"/>
  <c r="B124" i="14"/>
  <c r="D124" i="14" s="1"/>
  <c r="B122" i="14"/>
  <c r="D122" i="14" s="1"/>
  <c r="B127" i="14"/>
  <c r="D127" i="14" s="1"/>
  <c r="B125" i="14"/>
  <c r="D125" i="14" s="1"/>
  <c r="B123" i="14"/>
  <c r="D123" i="14" s="1"/>
  <c r="B126" i="14"/>
  <c r="D126" i="14" s="1"/>
  <c r="K22" i="12"/>
  <c r="K21" i="12"/>
  <c r="N3" i="12"/>
  <c r="P20" i="6"/>
  <c r="B112" i="14" s="1"/>
  <c r="D112" i="14" s="1"/>
  <c r="R3" i="12" l="1"/>
  <c r="T6" i="12"/>
  <c r="C27" i="14"/>
  <c r="D27" i="14" s="1"/>
  <c r="P3" i="12"/>
  <c r="AC3" i="12"/>
  <c r="AD3" i="12" s="1"/>
  <c r="X3" i="12" l="1"/>
  <c r="Y3" i="12"/>
  <c r="O4" i="12"/>
  <c r="M4" i="12" s="1"/>
  <c r="Q3" i="12"/>
  <c r="C154" i="14"/>
  <c r="D154" i="14" s="1"/>
  <c r="T7" i="12"/>
  <c r="AE3" i="12"/>
  <c r="C38" i="14" l="1"/>
  <c r="D38" i="14" s="1"/>
  <c r="T8" i="12"/>
  <c r="AC4" i="12" l="1"/>
  <c r="C131" i="14"/>
  <c r="D131" i="14" s="1"/>
  <c r="T9" i="12"/>
  <c r="N4" i="12"/>
  <c r="R4" i="12" l="1"/>
  <c r="C60" i="14"/>
  <c r="D60" i="14" s="1"/>
  <c r="T10" i="12"/>
  <c r="P4" i="12"/>
  <c r="AD4" i="12"/>
  <c r="X4" i="12" l="1"/>
  <c r="Y4" i="12"/>
  <c r="O5" i="12"/>
  <c r="M5" i="12" s="1"/>
  <c r="Q4" i="12"/>
  <c r="C37" i="14"/>
  <c r="D37" i="14" s="1"/>
  <c r="T11" i="12"/>
  <c r="AE4" i="12"/>
  <c r="C21" i="14" l="1"/>
  <c r="D21" i="14" s="1"/>
  <c r="T12" i="12"/>
  <c r="C136" i="14" l="1"/>
  <c r="D136" i="14" s="1"/>
  <c r="T13" i="12"/>
  <c r="N5" i="12"/>
  <c r="R5" i="12" s="1"/>
  <c r="P5" i="12" l="1"/>
  <c r="O6" i="12" s="1"/>
  <c r="M6" i="12" s="1"/>
  <c r="C8" i="14"/>
  <c r="D8" i="14" s="1"/>
  <c r="T14" i="12"/>
  <c r="AC5" i="12"/>
  <c r="AD5" i="12" s="1"/>
  <c r="Y5" i="12" l="1"/>
  <c r="X5" i="12"/>
  <c r="Q5" i="12"/>
  <c r="AE5" i="12"/>
  <c r="C143" i="14"/>
  <c r="D143" i="14" s="1"/>
  <c r="T15" i="12"/>
  <c r="N6" i="12"/>
  <c r="R6" i="12" s="1"/>
  <c r="C144" i="14" l="1"/>
  <c r="D144" i="14" s="1"/>
  <c r="C150" i="14"/>
  <c r="D150" i="14" s="1"/>
  <c r="C18" i="14"/>
  <c r="D18" i="14" s="1"/>
  <c r="T16" i="12"/>
  <c r="P6" i="12"/>
  <c r="X6" i="12" l="1"/>
  <c r="Y6" i="12"/>
  <c r="O7" i="12"/>
  <c r="M7" i="12" s="1"/>
  <c r="Q6" i="12"/>
  <c r="C25" i="14"/>
  <c r="D25" i="14" s="1"/>
  <c r="C19" i="14"/>
  <c r="D19" i="14" s="1"/>
  <c r="C151" i="14"/>
  <c r="D151" i="14" s="1"/>
  <c r="T17" i="12"/>
  <c r="AC6" i="12"/>
  <c r="AD6" i="12" s="1"/>
  <c r="AE6" i="12" l="1"/>
  <c r="N7" i="12"/>
  <c r="P7" i="12" s="1"/>
  <c r="Y7" i="12" s="1"/>
  <c r="C111" i="14"/>
  <c r="D111" i="14" s="1"/>
  <c r="T18" i="12"/>
  <c r="O8" i="12" l="1"/>
  <c r="M8" i="12" s="1"/>
  <c r="X7" i="12"/>
  <c r="R7" i="12"/>
  <c r="Q7" i="12"/>
  <c r="AC7" i="12"/>
  <c r="AD7" i="12" s="1"/>
  <c r="C118" i="14"/>
  <c r="D118" i="14" s="1"/>
  <c r="T19" i="12"/>
  <c r="N8" i="12" l="1"/>
  <c r="P8" i="12" s="1"/>
  <c r="X8" i="12" s="1"/>
  <c r="AE7" i="12"/>
  <c r="AC8" i="12"/>
  <c r="T20" i="12"/>
  <c r="R8" i="12" l="1"/>
  <c r="AD8" i="12"/>
  <c r="Y8" i="12"/>
  <c r="C77" i="14"/>
  <c r="D77" i="14" s="1"/>
  <c r="O9" i="12"/>
  <c r="M9" i="12" s="1"/>
  <c r="Q8" i="12"/>
  <c r="C65" i="14"/>
  <c r="D65" i="14" s="1"/>
  <c r="T21" i="12"/>
  <c r="AE8" i="12" l="1"/>
  <c r="N9" i="12"/>
  <c r="T22" i="12"/>
  <c r="AC9" i="12" l="1"/>
  <c r="AD9" i="12" s="1"/>
  <c r="R9" i="12"/>
  <c r="P9" i="12"/>
  <c r="T23" i="12"/>
  <c r="X9" i="12" l="1"/>
  <c r="Y9" i="12"/>
  <c r="O10" i="12"/>
  <c r="M10" i="12" s="1"/>
  <c r="AE9" i="12"/>
  <c r="C9" i="12"/>
  <c r="Q9" i="12"/>
  <c r="C69" i="14"/>
  <c r="D69" i="14" s="1"/>
  <c r="T24" i="12"/>
  <c r="C64" i="14" l="1"/>
  <c r="D64" i="14" s="1"/>
  <c r="N10" i="12"/>
  <c r="C76" i="14"/>
  <c r="D76" i="14" s="1"/>
  <c r="T25" i="12"/>
  <c r="AC10" i="12" l="1"/>
  <c r="AD10" i="12" s="1"/>
  <c r="P10" i="12"/>
  <c r="R10" i="12"/>
  <c r="C80" i="14"/>
  <c r="D80" i="14" s="1"/>
  <c r="T26" i="12"/>
  <c r="X10" i="12" l="1"/>
  <c r="Y10" i="12"/>
  <c r="O11" i="12"/>
  <c r="M11" i="12" s="1"/>
  <c r="AE10" i="12"/>
  <c r="C10" i="12"/>
  <c r="Q10" i="12"/>
  <c r="C89" i="14"/>
  <c r="D89" i="14" s="1"/>
  <c r="T27" i="12"/>
  <c r="N11" i="12" l="1"/>
  <c r="C96" i="14"/>
  <c r="D96" i="14" s="1"/>
  <c r="T28" i="12"/>
  <c r="AC11" i="12" l="1"/>
  <c r="AD11" i="12" s="1"/>
  <c r="R11" i="12"/>
  <c r="P11" i="12"/>
  <c r="C103" i="14"/>
  <c r="D103" i="14" s="1"/>
  <c r="X11" i="12" l="1"/>
  <c r="Y11" i="12"/>
  <c r="O12" i="12"/>
  <c r="M12" i="12" s="1"/>
  <c r="C11" i="12"/>
  <c r="Q11" i="12"/>
  <c r="AE11" i="12"/>
  <c r="N12" i="12" l="1"/>
  <c r="C106" i="14"/>
  <c r="D106" i="14" s="1"/>
  <c r="AC12" i="12" l="1"/>
  <c r="AD12" i="12" s="1"/>
  <c r="R12" i="12"/>
  <c r="P12" i="12"/>
  <c r="X12" i="12" l="1"/>
  <c r="Y12" i="12"/>
  <c r="O13" i="12"/>
  <c r="M13" i="12" s="1"/>
  <c r="AE12" i="12"/>
  <c r="C12" i="12"/>
  <c r="Q12" i="12"/>
  <c r="N13" i="12" l="1"/>
  <c r="C54" i="14"/>
  <c r="D54" i="14" s="1"/>
  <c r="AC13" i="12" l="1"/>
  <c r="AD13" i="12" s="1"/>
  <c r="P13" i="12"/>
  <c r="R13" i="12"/>
  <c r="C7" i="14"/>
  <c r="D7" i="14" s="1"/>
  <c r="X13" i="12" l="1"/>
  <c r="Y13" i="12"/>
  <c r="O14" i="12"/>
  <c r="M14" i="12" s="1"/>
  <c r="AE13" i="12"/>
  <c r="C13" i="12"/>
  <c r="Q13" i="12"/>
  <c r="N14" i="12" l="1"/>
  <c r="AC14" i="12" l="1"/>
  <c r="AD14" i="12" s="1"/>
  <c r="P14" i="12"/>
  <c r="R14" i="12"/>
  <c r="X14" i="12" l="1"/>
  <c r="Y14" i="12"/>
  <c r="O15" i="12"/>
  <c r="M15" i="12" s="1"/>
  <c r="AE14" i="12"/>
  <c r="C14" i="12"/>
  <c r="Q14" i="12"/>
  <c r="N15" i="12" l="1"/>
  <c r="AC15" i="12" l="1"/>
  <c r="AD15" i="12" s="1"/>
  <c r="P15" i="12"/>
  <c r="R15" i="12"/>
  <c r="X15" i="12" l="1"/>
  <c r="Y15" i="12"/>
  <c r="O16" i="12"/>
  <c r="M16" i="12" s="1"/>
  <c r="AE15" i="12"/>
  <c r="C15" i="12"/>
  <c r="Q15" i="12"/>
  <c r="N16" i="12" l="1"/>
  <c r="AC16" i="12" l="1"/>
  <c r="AD16" i="12" s="1"/>
  <c r="R16" i="12"/>
  <c r="P16" i="12"/>
  <c r="X16" i="12" l="1"/>
  <c r="Y16" i="12"/>
  <c r="O17" i="12"/>
  <c r="M17" i="12" s="1"/>
  <c r="AE16" i="12"/>
  <c r="Q16" i="12"/>
  <c r="C16" i="12"/>
  <c r="N17" i="12" l="1"/>
  <c r="AC17" i="12" l="1"/>
  <c r="AD17" i="12" s="1"/>
  <c r="P17" i="12"/>
  <c r="R17" i="12"/>
  <c r="X17" i="12" l="1"/>
  <c r="Y17" i="12"/>
  <c r="O18" i="12"/>
  <c r="M18" i="12" s="1"/>
  <c r="AE17" i="12"/>
  <c r="C17" i="12"/>
  <c r="Q17" i="12"/>
  <c r="N18" i="12" l="1"/>
  <c r="AC18" i="12" l="1"/>
  <c r="AD18" i="12" s="1"/>
  <c r="R18" i="12"/>
  <c r="P18" i="12"/>
  <c r="X18" i="12" l="1"/>
  <c r="Y18" i="12"/>
  <c r="O19" i="12"/>
  <c r="M19" i="12" s="1"/>
  <c r="AE18" i="12"/>
  <c r="Q18" i="12"/>
  <c r="C18" i="12"/>
  <c r="N19" i="12" l="1"/>
  <c r="AC19" i="12" l="1"/>
  <c r="AD19" i="12" s="1"/>
  <c r="R19" i="12"/>
  <c r="P19" i="12"/>
  <c r="X19" i="12" l="1"/>
  <c r="Y19" i="12"/>
  <c r="O20" i="12"/>
  <c r="M20" i="12" s="1"/>
  <c r="AE19" i="12"/>
  <c r="Q19" i="12"/>
  <c r="C19" i="12"/>
  <c r="N20" i="12" l="1"/>
  <c r="AC20" i="12" l="1"/>
  <c r="AD20" i="12" s="1"/>
  <c r="R20" i="12"/>
  <c r="P20" i="12"/>
  <c r="X20" i="12" l="1"/>
  <c r="Y20" i="12"/>
  <c r="O21" i="12"/>
  <c r="M21" i="12" s="1"/>
  <c r="AE20" i="12"/>
  <c r="Q20" i="12"/>
  <c r="C20" i="12"/>
  <c r="N21" i="12" l="1"/>
  <c r="AC21" i="12" l="1"/>
  <c r="AD21" i="12" s="1"/>
  <c r="R21" i="12"/>
  <c r="P21" i="12"/>
  <c r="X21" i="12" l="1"/>
  <c r="Y21" i="12"/>
  <c r="O22" i="12"/>
  <c r="M22" i="12" s="1"/>
  <c r="AE21" i="12"/>
  <c r="Q21" i="12"/>
  <c r="C21" i="12"/>
  <c r="N22" i="12" l="1"/>
  <c r="AC22" i="12" l="1"/>
  <c r="AD22" i="12" s="1"/>
  <c r="P22" i="12"/>
  <c r="R22" i="12"/>
  <c r="X22" i="12" l="1"/>
  <c r="Y22" i="12"/>
  <c r="O23" i="12"/>
  <c r="M23" i="12" s="1"/>
  <c r="AE22" i="12"/>
  <c r="Q22" i="12"/>
  <c r="C22" i="12"/>
  <c r="N23" i="12" l="1"/>
  <c r="AC23" i="12" l="1"/>
  <c r="AD23" i="12" s="1"/>
  <c r="P23" i="12"/>
  <c r="R23" i="12"/>
  <c r="X23" i="12" l="1"/>
  <c r="Y23" i="12"/>
  <c r="O24" i="12"/>
  <c r="AE23" i="12"/>
  <c r="Q23" i="12"/>
  <c r="C23" i="12"/>
  <c r="N24" i="12" l="1"/>
  <c r="AC24" i="12" l="1"/>
  <c r="AD24" i="12" s="1"/>
  <c r="R24" i="12"/>
  <c r="P24" i="12"/>
  <c r="X24" i="12" l="1"/>
  <c r="Y24" i="12"/>
  <c r="O25" i="12"/>
  <c r="AE24" i="12"/>
  <c r="Q24" i="12"/>
  <c r="N25" i="12" l="1"/>
  <c r="AC25" i="12" l="1"/>
  <c r="AD25" i="12" s="1"/>
  <c r="R25" i="12"/>
  <c r="P25" i="12"/>
  <c r="X25" i="12" l="1"/>
  <c r="Y25" i="12"/>
  <c r="O26" i="12"/>
  <c r="AE25" i="12"/>
  <c r="Q25" i="12"/>
  <c r="N26" i="12" l="1"/>
  <c r="AC26" i="12" l="1"/>
  <c r="AD26" i="12" s="1"/>
  <c r="R26" i="12"/>
  <c r="P26" i="12"/>
  <c r="X26" i="12" l="1"/>
  <c r="Y26" i="12"/>
  <c r="O27" i="12"/>
  <c r="AE26" i="12"/>
  <c r="Q26" i="12"/>
  <c r="N27" i="12" l="1"/>
  <c r="AC27" i="12" l="1"/>
  <c r="AD27" i="12" s="1"/>
  <c r="P27" i="12"/>
  <c r="R27" i="12"/>
  <c r="X27" i="12" l="1"/>
  <c r="Y27" i="12"/>
  <c r="O28" i="12"/>
  <c r="AE27" i="12"/>
  <c r="Q27" i="12"/>
  <c r="N28" i="12" l="1"/>
  <c r="AC28" i="12" l="1"/>
  <c r="AD28" i="12" s="1"/>
  <c r="P28" i="12"/>
  <c r="R28" i="12"/>
  <c r="AS26" i="12" l="1"/>
  <c r="AS27" i="12"/>
  <c r="AS28" i="12"/>
  <c r="AS29" i="12"/>
  <c r="AS30" i="12"/>
  <c r="AL26" i="12"/>
  <c r="AL27" i="12"/>
  <c r="AL28" i="12"/>
  <c r="AL29" i="12"/>
  <c r="AL30" i="12"/>
  <c r="X28" i="12"/>
  <c r="Y28" i="12"/>
  <c r="AE28" i="12"/>
  <c r="Q28" i="12"/>
  <c r="AN30" i="12" l="1"/>
  <c r="AU30" i="12"/>
  <c r="Y29" i="12"/>
  <c r="Z29" i="12" l="1"/>
  <c r="AA29" i="12"/>
  <c r="AB29" i="12" l="1"/>
  <c r="AL19" i="12" l="1"/>
  <c r="AR18" i="12"/>
  <c r="AS20" i="12"/>
  <c r="AM21" i="12"/>
  <c r="AL20" i="12"/>
  <c r="AP21" i="12"/>
  <c r="AN22" i="12"/>
  <c r="AT19" i="12"/>
  <c r="AP20" i="12"/>
  <c r="AS22" i="12"/>
  <c r="AV20" i="12"/>
  <c r="AN18" i="12"/>
  <c r="AW20" i="12"/>
  <c r="AR20" i="12"/>
  <c r="AM19" i="12"/>
  <c r="AS19" i="12"/>
  <c r="AN19" i="12"/>
  <c r="AQ21" i="12"/>
  <c r="AP18" i="12"/>
  <c r="AN21" i="12"/>
  <c r="AM18" i="12"/>
  <c r="AL18" i="12"/>
  <c r="AQ22" i="12"/>
  <c r="AT20" i="12"/>
  <c r="AT18" i="12"/>
  <c r="AS18" i="12"/>
  <c r="AW21" i="12"/>
  <c r="AL22" i="12"/>
  <c r="AR19" i="12"/>
  <c r="AR21" i="12"/>
  <c r="AV18" i="12"/>
  <c r="AQ20" i="12"/>
  <c r="AW18" i="12"/>
  <c r="AQ19" i="12"/>
  <c r="AR22" i="12"/>
  <c r="AU21" i="12"/>
  <c r="AU18" i="12"/>
  <c r="AO18" i="12"/>
  <c r="AT22" i="12"/>
  <c r="AM22" i="12"/>
  <c r="AO20" i="12"/>
  <c r="AO22" i="12"/>
  <c r="AW19" i="12"/>
  <c r="AO19" i="12"/>
  <c r="AU19" i="12"/>
  <c r="AV21" i="12"/>
  <c r="AS21" i="12"/>
  <c r="AP22" i="12"/>
  <c r="AL21" i="12"/>
  <c r="AQ18" i="12"/>
  <c r="AT21" i="12"/>
  <c r="AU22" i="12"/>
  <c r="AN20" i="12"/>
  <c r="AW22" i="12"/>
  <c r="AU20" i="12"/>
  <c r="AM20" i="12"/>
  <c r="AP19" i="12"/>
  <c r="AV19" i="12"/>
  <c r="AV22" i="12"/>
  <c r="AO21" i="12"/>
  <c r="AU29" i="12"/>
  <c r="AU28" i="12"/>
  <c r="AU27" i="12"/>
  <c r="AO32" i="12" l="1"/>
  <c r="AV32" i="12"/>
  <c r="AM32" i="12"/>
  <c r="AL32" i="12"/>
  <c r="AQ32" i="12"/>
  <c r="AP32" i="12"/>
  <c r="AN28" i="12"/>
  <c r="AN29" i="12"/>
  <c r="AN27" i="12"/>
  <c r="AN26" i="12"/>
  <c r="AR32" i="12" l="1"/>
  <c r="AU26" i="12"/>
  <c r="AS32" i="12"/>
  <c r="AN32" i="12"/>
</calcChain>
</file>

<file path=xl/sharedStrings.xml><?xml version="1.0" encoding="utf-8"?>
<sst xmlns="http://schemas.openxmlformats.org/spreadsheetml/2006/main" count="305" uniqueCount="129">
  <si>
    <t>Endzeit</t>
  </si>
  <si>
    <t>Dämmerungzeit</t>
  </si>
  <si>
    <t>Short Twilight</t>
  </si>
  <si>
    <t>Long Twilight</t>
  </si>
  <si>
    <t>ST</t>
  </si>
  <si>
    <t>LT</t>
  </si>
  <si>
    <t>Min h</t>
  </si>
  <si>
    <t>Max h</t>
  </si>
  <si>
    <t>A</t>
  </si>
  <si>
    <t>B</t>
  </si>
  <si>
    <t>Lexen, Gert</t>
  </si>
  <si>
    <t>C</t>
  </si>
  <si>
    <t>Baath, Veikko</t>
  </si>
  <si>
    <t>D</t>
  </si>
  <si>
    <t>E</t>
  </si>
  <si>
    <t>Lorenz-Baath, Katrin</t>
  </si>
  <si>
    <t>#</t>
  </si>
  <si>
    <t>Type</t>
  </si>
  <si>
    <t>Läufer</t>
  </si>
  <si>
    <t>Bahn</t>
  </si>
  <si>
    <t>Schwierigkeit</t>
  </si>
  <si>
    <t>Differenz</t>
  </si>
  <si>
    <t>Start</t>
  </si>
  <si>
    <t>Laufzeit</t>
  </si>
  <si>
    <t>Faktor</t>
  </si>
  <si>
    <t>Startzeit</t>
  </si>
  <si>
    <t>Lauf</t>
  </si>
  <si>
    <t>Dämmerung</t>
  </si>
  <si>
    <t>Pause</t>
  </si>
  <si>
    <t>Km</t>
  </si>
  <si>
    <t>Hm</t>
  </si>
  <si>
    <t>ClimbFaktor</t>
  </si>
  <si>
    <t>Run</t>
  </si>
  <si>
    <t>LKm</t>
  </si>
  <si>
    <t>Müde</t>
  </si>
  <si>
    <t>Total</t>
  </si>
  <si>
    <t>BahnKz</t>
  </si>
  <si>
    <t>Kz</t>
  </si>
  <si>
    <t>Faktoren</t>
  </si>
  <si>
    <t>Normiert</t>
  </si>
  <si>
    <t>Runs</t>
  </si>
  <si>
    <t>used</t>
  </si>
  <si>
    <t>Lmax</t>
  </si>
  <si>
    <t>Lmin</t>
  </si>
  <si>
    <t>Uhrzeit</t>
  </si>
  <si>
    <t>Dauer</t>
  </si>
  <si>
    <t>Licht-Faktor</t>
  </si>
  <si>
    <t>Sollzeiten ohne Faktoren</t>
  </si>
  <si>
    <t>Zeit-Parameter</t>
  </si>
  <si>
    <t>Leistungskilometer-Faktor</t>
  </si>
  <si>
    <t>Bahnen-Faktor</t>
  </si>
  <si>
    <t>Ermüdungsgeschw.</t>
  </si>
  <si>
    <t>Ermüdungs-Faktor</t>
  </si>
  <si>
    <t>Position</t>
  </si>
  <si>
    <t>Kürzel</t>
  </si>
  <si>
    <t>Name</t>
  </si>
  <si>
    <t>Teilnehmer</t>
  </si>
  <si>
    <t>NumPos</t>
  </si>
  <si>
    <t>Pace</t>
  </si>
  <si>
    <t>Licht</t>
  </si>
  <si>
    <t>ExponentBasis</t>
  </si>
  <si>
    <t>Dämmerungszeit</t>
  </si>
  <si>
    <t>Zielzeit</t>
  </si>
  <si>
    <t>Bahn-Läufer</t>
  </si>
  <si>
    <t>Pace min / LKm</t>
  </si>
  <si>
    <t>SOLL</t>
  </si>
  <si>
    <t>IST</t>
  </si>
  <si>
    <t>Pace-Diff.</t>
  </si>
  <si>
    <t>Ist</t>
  </si>
  <si>
    <t>Basis</t>
  </si>
  <si>
    <t>Ermüdungsfaktor = (24h + (Lauf # - 1) * Erm_Geschw * ExponentBasis^(Lauf # - 1) ) / 24h</t>
  </si>
  <si>
    <t>Typ</t>
  </si>
  <si>
    <t>Lkm</t>
  </si>
  <si>
    <t>ST1</t>
  </si>
  <si>
    <t>LT1</t>
  </si>
  <si>
    <t>Fixed Parameters</t>
  </si>
  <si>
    <t>Nach Zielschluss</t>
  </si>
  <si>
    <t>Pos</t>
  </si>
  <si>
    <t xml:space="preserve"> - too late</t>
  </si>
  <si>
    <t>Sollzeit</t>
  </si>
  <si>
    <t>Lauf-Diff</t>
  </si>
  <si>
    <t>Gesamt-Diff</t>
  </si>
  <si>
    <t>SOLL-Zeiten</t>
  </si>
  <si>
    <t>OK</t>
  </si>
  <si>
    <t>Wechsel</t>
  </si>
  <si>
    <t>Diff</t>
  </si>
  <si>
    <t>Baath, Ole</t>
  </si>
  <si>
    <t>OB</t>
  </si>
  <si>
    <t>VB</t>
  </si>
  <si>
    <t>KHR</t>
  </si>
  <si>
    <t>KLB</t>
  </si>
  <si>
    <t>GL</t>
  </si>
  <si>
    <t>Hagen-Ritzentahler, Kristin</t>
  </si>
  <si>
    <t>TH1</t>
  </si>
  <si>
    <t>TH2</t>
  </si>
  <si>
    <t>TH</t>
  </si>
  <si>
    <t>TH3</t>
  </si>
  <si>
    <t>TH4</t>
  </si>
  <si>
    <t>TH5</t>
  </si>
  <si>
    <t>TH6</t>
  </si>
  <si>
    <t>Difficult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</si>
  <si>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</si>
  <si>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</si>
  <si>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</si>
  <si>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</si>
  <si>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</si>
  <si>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</si>
  <si>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</si>
  <si>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</si>
  <si>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</si>
  <si>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</si>
  <si>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Easy</t>
  </si>
  <si>
    <t>E1</t>
  </si>
  <si>
    <t>E2</t>
  </si>
  <si>
    <t>E3</t>
  </si>
  <si>
    <t>E4</t>
  </si>
  <si>
    <t>E5</t>
  </si>
  <si>
    <t>E6</t>
  </si>
  <si>
    <t>E7</t>
  </si>
  <si>
    <t>E8</t>
  </si>
  <si>
    <t>LKmPace</t>
  </si>
  <si>
    <t>SollZeit</t>
  </si>
  <si>
    <t>IstZeit</t>
  </si>
  <si>
    <t>F</t>
  </si>
  <si>
    <t>L6</t>
  </si>
  <si>
    <t>Soll</t>
  </si>
  <si>
    <t>Difference</t>
  </si>
  <si>
    <t>Team 266: 's passt scho</t>
  </si>
  <si>
    <t>Real Lkm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</si>
</sst>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h]:mm:ss;@"/>
    <numFmt numFmtId="166" formatCode="[m]:ss;@"/>
    <numFmt numFmtId="167" formatCode="[$-F400]h:mm:ss\ AM/PM"/>
    <numFmt numFmtId="168" formatCode="h:mm:ss;@"/>
    <numFmt numFmtId="169" formatCode="[m]:ss;\-;\-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8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21" fontId="3" fillId="2" borderId="1" xfId="0" applyNumberFormat="1" applyFont="1" applyFill="1" applyBorder="1" applyAlignment="1">
      <alignment wrapText="1"/>
    </xf>
    <xf numFmtId="0" fontId="0" fillId="0" borderId="1" xfId="0" applyFill="1" applyBorder="1"/>
    <xf numFmtId="2" fontId="0" fillId="2" borderId="1" xfId="0" applyNumberFormat="1" applyFill="1" applyBorder="1"/>
    <xf numFmtId="0" fontId="0" fillId="0" borderId="0" xfId="0" applyBorder="1"/>
    <xf numFmtId="0" fontId="2" fillId="0" borderId="0" xfId="0" applyFont="1"/>
    <xf numFmtId="0" fontId="2" fillId="0" borderId="1" xfId="0" applyFont="1" applyFill="1" applyBorder="1"/>
    <xf numFmtId="0" fontId="2" fillId="2" borderId="8" xfId="0" applyFont="1" applyFill="1" applyBorder="1"/>
    <xf numFmtId="0" fontId="0" fillId="0" borderId="9" xfId="0" applyBorder="1"/>
    <xf numFmtId="21" fontId="0" fillId="2" borderId="8" xfId="0" applyNumberForma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8" xfId="0" applyFont="1" applyFill="1" applyBorder="1"/>
    <xf numFmtId="0" fontId="0" fillId="0" borderId="11" xfId="0" applyNumberFormat="1" applyBorder="1"/>
    <xf numFmtId="0" fontId="0" fillId="0" borderId="12" xfId="0" applyNumberFormat="1" applyBorder="1"/>
    <xf numFmtId="0" fontId="2" fillId="0" borderId="10" xfId="0" applyFont="1" applyFill="1" applyBorder="1"/>
    <xf numFmtId="21" fontId="3" fillId="0" borderId="1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" xfId="1" applyNumberFormat="1" applyFont="1" applyBorder="1"/>
    <xf numFmtId="0" fontId="3" fillId="0" borderId="1" xfId="1" applyNumberFormat="1" applyFont="1" applyBorder="1"/>
    <xf numFmtId="0" fontId="3" fillId="0" borderId="0" xfId="0" applyFont="1" applyBorder="1" applyAlignment="1"/>
    <xf numFmtId="0" fontId="3" fillId="0" borderId="13" xfId="0" applyFont="1" applyBorder="1" applyAlignment="1"/>
    <xf numFmtId="0" fontId="2" fillId="0" borderId="13" xfId="0" applyFont="1" applyBorder="1" applyAlignment="1">
      <alignment horizontal="center"/>
    </xf>
    <xf numFmtId="2" fontId="0" fillId="5" borderId="1" xfId="0" applyNumberFormat="1" applyFill="1" applyBorder="1"/>
    <xf numFmtId="2" fontId="0" fillId="5" borderId="14" xfId="0" applyNumberFormat="1" applyFill="1" applyBorder="1"/>
    <xf numFmtId="21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0" fillId="7" borderId="1" xfId="0" applyFill="1" applyBorder="1"/>
    <xf numFmtId="21" fontId="3" fillId="7" borderId="1" xfId="0" applyNumberFormat="1" applyFont="1" applyFill="1" applyBorder="1" applyAlignment="1">
      <alignment wrapText="1"/>
    </xf>
    <xf numFmtId="0" fontId="0" fillId="7" borderId="14" xfId="0" applyFill="1" applyBorder="1"/>
    <xf numFmtId="165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horizontal="center" vertical="center"/>
    </xf>
    <xf numFmtId="168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165" fontId="0" fillId="2" borderId="1" xfId="0" applyNumberFormat="1" applyFill="1" applyBorder="1" applyAlignment="1">
      <alignment wrapText="1"/>
    </xf>
    <xf numFmtId="166" fontId="0" fillId="7" borderId="1" xfId="0" applyNumberFormat="1" applyFill="1" applyBorder="1" applyAlignment="1">
      <alignment wrapText="1"/>
    </xf>
    <xf numFmtId="0" fontId="2" fillId="2" borderId="0" xfId="0" applyFont="1" applyFill="1"/>
    <xf numFmtId="165" fontId="2" fillId="2" borderId="0" xfId="0" applyNumberFormat="1" applyFon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4" fontId="0" fillId="7" borderId="1" xfId="0" applyNumberFormat="1" applyFill="1" applyBorder="1"/>
    <xf numFmtId="0" fontId="2" fillId="0" borderId="15" xfId="0" applyFont="1" applyBorder="1" applyAlignment="1">
      <alignment vertical="center"/>
    </xf>
    <xf numFmtId="0" fontId="3" fillId="7" borderId="1" xfId="0" applyFont="1" applyFill="1" applyBorder="1" applyAlignment="1">
      <alignment horizontal="center" wrapText="1"/>
    </xf>
    <xf numFmtId="2" fontId="0" fillId="7" borderId="1" xfId="1" applyNumberFormat="1" applyFont="1" applyFill="1" applyBorder="1"/>
    <xf numFmtId="2" fontId="0" fillId="7" borderId="14" xfId="1" applyNumberFormat="1" applyFont="1" applyFill="1" applyBorder="1"/>
    <xf numFmtId="2" fontId="3" fillId="7" borderId="1" xfId="1" applyNumberFormat="1" applyFont="1" applyFill="1" applyBorder="1"/>
    <xf numFmtId="2" fontId="3" fillId="7" borderId="14" xfId="1" applyNumberFormat="1" applyFont="1" applyFill="1" applyBorder="1"/>
    <xf numFmtId="0" fontId="3" fillId="7" borderId="1" xfId="0" applyFont="1" applyFill="1" applyBorder="1"/>
    <xf numFmtId="0" fontId="0" fillId="5" borderId="0" xfId="0" applyFill="1"/>
    <xf numFmtId="165" fontId="0" fillId="5" borderId="0" xfId="0" applyNumberFormat="1" applyFill="1"/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6" borderId="1" xfId="0" quotePrefix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8" fontId="1" fillId="0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21" fontId="1" fillId="6" borderId="1" xfId="0" applyNumberFormat="1" applyFont="1" applyFill="1" applyBorder="1" applyAlignment="1">
      <alignment vertical="center"/>
    </xf>
    <xf numFmtId="1" fontId="1" fillId="6" borderId="1" xfId="0" applyNumberFormat="1" applyFont="1" applyFill="1" applyBorder="1" applyAlignment="1">
      <alignment vertical="center"/>
    </xf>
    <xf numFmtId="166" fontId="1" fillId="6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1" fontId="8" fillId="6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vertical="center"/>
    </xf>
    <xf numFmtId="166" fontId="8" fillId="6" borderId="1" xfId="0" applyNumberFormat="1" applyFont="1" applyFill="1" applyBorder="1" applyAlignment="1">
      <alignment vertical="center"/>
    </xf>
    <xf numFmtId="169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1" fontId="1" fillId="6" borderId="1" xfId="0" applyNumberFormat="1" applyFont="1" applyFill="1" applyBorder="1" applyAlignment="1">
      <alignment horizontal="right" vertical="center"/>
    </xf>
    <xf numFmtId="21" fontId="8" fillId="6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center" vertical="center"/>
    </xf>
    <xf numFmtId="21" fontId="1" fillId="6" borderId="1" xfId="0" applyNumberFormat="1" applyFont="1" applyFill="1" applyBorder="1" applyAlignment="1">
      <alignment horizontal="center" vertical="center"/>
    </xf>
    <xf numFmtId="46" fontId="8" fillId="6" borderId="1" xfId="0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6" borderId="3" xfId="0" quotePrefix="1" applyFont="1" applyFill="1" applyBorder="1" applyAlignment="1">
      <alignment horizontal="left" vertical="center"/>
    </xf>
    <xf numFmtId="0" fontId="8" fillId="6" borderId="4" xfId="0" quotePrefix="1" applyFont="1" applyFill="1" applyBorder="1" applyAlignment="1">
      <alignment horizontal="left" vertical="center"/>
    </xf>
    <xf numFmtId="0" fontId="8" fillId="6" borderId="2" xfId="0" quotePrefix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10"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5" tint="0.39994506668294322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99FF99"/>
      <color rgb="FFFE8C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30183727034119E-2"/>
          <c:y val="2.8252405949256341E-2"/>
          <c:w val="0.7987471566054243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Parameters!$D$13</c:f>
              <c:strCache>
                <c:ptCount val="1"/>
                <c:pt idx="0">
                  <c:v>OB</c:v>
                </c:pt>
              </c:strCache>
            </c:strRef>
          </c:tx>
          <c:cat>
            <c:strRef>
              <c:f>Parameters!$B$14:$B$25</c:f>
              <c:strCache>
                <c:ptCount val="5"/>
                <c:pt idx="0">
                  <c:v>TH</c:v>
                </c:pt>
                <c:pt idx="1">
                  <c:v>E</c:v>
                </c:pt>
                <c:pt idx="2">
                  <c:v>D</c:v>
                </c:pt>
                <c:pt idx="3">
                  <c:v>ST</c:v>
                </c:pt>
                <c:pt idx="4">
                  <c:v>LT</c:v>
                </c:pt>
              </c:strCache>
            </c:strRef>
          </c:cat>
          <c:val>
            <c:numRef>
              <c:f>Parameters!$D$14:$D$25</c:f>
              <c:numCache>
                <c:formatCode>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Parameters!$E$13</c:f>
              <c:strCache>
                <c:ptCount val="1"/>
                <c:pt idx="0">
                  <c:v>VB</c:v>
                </c:pt>
              </c:strCache>
            </c:strRef>
          </c:tx>
          <c:cat>
            <c:strRef>
              <c:f>Parameters!$B$14:$B$25</c:f>
              <c:strCache>
                <c:ptCount val="5"/>
                <c:pt idx="0">
                  <c:v>TH</c:v>
                </c:pt>
                <c:pt idx="1">
                  <c:v>E</c:v>
                </c:pt>
                <c:pt idx="2">
                  <c:v>D</c:v>
                </c:pt>
                <c:pt idx="3">
                  <c:v>ST</c:v>
                </c:pt>
                <c:pt idx="4">
                  <c:v>LT</c:v>
                </c:pt>
              </c:strCache>
            </c:strRef>
          </c:cat>
          <c:val>
            <c:numRef>
              <c:f>Parameters!$E$14:$E$25</c:f>
              <c:numCache>
                <c:formatCode>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1.05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Parameters!$F$13</c:f>
              <c:strCache>
                <c:ptCount val="1"/>
                <c:pt idx="0">
                  <c:v>KHR</c:v>
                </c:pt>
              </c:strCache>
            </c:strRef>
          </c:tx>
          <c:cat>
            <c:strRef>
              <c:f>Parameters!$B$14:$B$25</c:f>
              <c:strCache>
                <c:ptCount val="5"/>
                <c:pt idx="0">
                  <c:v>TH</c:v>
                </c:pt>
                <c:pt idx="1">
                  <c:v>E</c:v>
                </c:pt>
                <c:pt idx="2">
                  <c:v>D</c:v>
                </c:pt>
                <c:pt idx="3">
                  <c:v>ST</c:v>
                </c:pt>
                <c:pt idx="4">
                  <c:v>LT</c:v>
                </c:pt>
              </c:strCache>
            </c:strRef>
          </c:cat>
          <c:val>
            <c:numRef>
              <c:f>Parameters!$F$14:$F$25</c:f>
              <c:numCache>
                <c:formatCode>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1.05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Parameters!$G$13</c:f>
              <c:strCache>
                <c:ptCount val="1"/>
                <c:pt idx="0">
                  <c:v>KLB</c:v>
                </c:pt>
              </c:strCache>
            </c:strRef>
          </c:tx>
          <c:cat>
            <c:strRef>
              <c:f>Parameters!$B$14:$B$25</c:f>
              <c:strCache>
                <c:ptCount val="5"/>
                <c:pt idx="0">
                  <c:v>TH</c:v>
                </c:pt>
                <c:pt idx="1">
                  <c:v>E</c:v>
                </c:pt>
                <c:pt idx="2">
                  <c:v>D</c:v>
                </c:pt>
                <c:pt idx="3">
                  <c:v>ST</c:v>
                </c:pt>
                <c:pt idx="4">
                  <c:v>LT</c:v>
                </c:pt>
              </c:strCache>
            </c:strRef>
          </c:cat>
          <c:val>
            <c:numRef>
              <c:f>Parameters!$G$14:$G$25</c:f>
              <c:numCache>
                <c:formatCode>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1.05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Parameters!$H$13</c:f>
              <c:strCache>
                <c:ptCount val="1"/>
                <c:pt idx="0">
                  <c:v>GL</c:v>
                </c:pt>
              </c:strCache>
            </c:strRef>
          </c:tx>
          <c:cat>
            <c:strRef>
              <c:f>Parameters!$B$14:$B$25</c:f>
              <c:strCache>
                <c:ptCount val="5"/>
                <c:pt idx="0">
                  <c:v>TH</c:v>
                </c:pt>
                <c:pt idx="1">
                  <c:v>E</c:v>
                </c:pt>
                <c:pt idx="2">
                  <c:v>D</c:v>
                </c:pt>
                <c:pt idx="3">
                  <c:v>ST</c:v>
                </c:pt>
                <c:pt idx="4">
                  <c:v>LT</c:v>
                </c:pt>
              </c:strCache>
            </c:strRef>
          </c:cat>
          <c:val>
            <c:numRef>
              <c:f>Parameters!$H$14:$H$25</c:f>
              <c:numCache>
                <c:formatCode>0.00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1.05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Parameters!$I$13</c:f>
              <c:strCache>
                <c:ptCount val="1"/>
                <c:pt idx="0">
                  <c:v>L6</c:v>
                </c:pt>
              </c:strCache>
            </c:strRef>
          </c:tx>
          <c:cat>
            <c:strRef>
              <c:f>Parameters!$B$14:$B$25</c:f>
              <c:strCache>
                <c:ptCount val="5"/>
                <c:pt idx="0">
                  <c:v>TH</c:v>
                </c:pt>
                <c:pt idx="1">
                  <c:v>E</c:v>
                </c:pt>
                <c:pt idx="2">
                  <c:v>D</c:v>
                </c:pt>
                <c:pt idx="3">
                  <c:v>ST</c:v>
                </c:pt>
                <c:pt idx="4">
                  <c:v>LT</c:v>
                </c:pt>
              </c:strCache>
            </c:strRef>
          </c:cat>
          <c:val>
            <c:numRef>
              <c:f>Parameters!$I$14:$I$25</c:f>
              <c:numCache>
                <c:formatCode>0.00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33024"/>
        <c:axId val="372034560"/>
      </c:lineChart>
      <c:catAx>
        <c:axId val="37203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372034560"/>
        <c:crosses val="autoZero"/>
        <c:auto val="1"/>
        <c:lblAlgn val="ctr"/>
        <c:lblOffset val="100"/>
        <c:noMultiLvlLbl val="0"/>
      </c:catAx>
      <c:valAx>
        <c:axId val="372034560"/>
        <c:scaling>
          <c:orientation val="minMax"/>
          <c:max val="1.4"/>
          <c:min val="0.70000000000000007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372033024"/>
        <c:crosses val="autoZero"/>
        <c:crossBetween val="between"/>
        <c:majorUnit val="0.1"/>
        <c:min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9213413453684638E-2"/>
          <c:w val="0.76223359580052508"/>
          <c:h val="0.80717782375734437"/>
        </c:manualLayout>
      </c:layout>
      <c:lineChart>
        <c:grouping val="standard"/>
        <c:varyColors val="0"/>
        <c:ser>
          <c:idx val="1"/>
          <c:order val="0"/>
          <c:tx>
            <c:strRef>
              <c:f>Parameters!$D$55</c:f>
              <c:strCache>
                <c:ptCount val="1"/>
                <c:pt idx="0">
                  <c:v>OB</c:v>
                </c:pt>
              </c:strCache>
            </c:strRef>
          </c:tx>
          <c:val>
            <c:numRef>
              <c:f>Parameters!$D$56:$D$62</c:f>
              <c:numCache>
                <c:formatCode>0.00</c:formatCode>
                <c:ptCount val="7"/>
                <c:pt idx="0">
                  <c:v>1</c:v>
                </c:pt>
                <c:pt idx="1">
                  <c:v>1.0288299999999999</c:v>
                </c:pt>
                <c:pt idx="2">
                  <c:v>1.0536238</c:v>
                </c:pt>
                <c:pt idx="3">
                  <c:v>1.074805201</c:v>
                </c:pt>
                <c:pt idx="4">
                  <c:v>1.09275844924</c:v>
                </c:pt>
                <c:pt idx="5">
                  <c:v>1.1078316972415001</c:v>
                </c:pt>
                <c:pt idx="6">
                  <c:v>1.120340174121514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Parameters!$E$55</c:f>
              <c:strCache>
                <c:ptCount val="1"/>
                <c:pt idx="0">
                  <c:v>VB</c:v>
                </c:pt>
              </c:strCache>
            </c:strRef>
          </c:tx>
          <c:val>
            <c:numRef>
              <c:f>Parameters!$E$56:$E$62</c:f>
              <c:numCache>
                <c:formatCode>0.00</c:formatCode>
                <c:ptCount val="7"/>
                <c:pt idx="0">
                  <c:v>1</c:v>
                </c:pt>
                <c:pt idx="1">
                  <c:v>1.0319635416666666</c:v>
                </c:pt>
                <c:pt idx="2">
                  <c:v>1.0607307291666668</c:v>
                </c:pt>
                <c:pt idx="3">
                  <c:v>1.0865412890624999</c:v>
                </c:pt>
                <c:pt idx="4">
                  <c:v>1.1096189661458333</c:v>
                </c:pt>
                <c:pt idx="5">
                  <c:v>1.1301725222981771</c:v>
                </c:pt>
                <c:pt idx="6">
                  <c:v>1.148396675419922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Parameters!$F$55</c:f>
              <c:strCache>
                <c:ptCount val="1"/>
                <c:pt idx="0">
                  <c:v>KHR</c:v>
                </c:pt>
              </c:strCache>
            </c:strRef>
          </c:tx>
          <c:val>
            <c:numRef>
              <c:f>Parameters!$F$56:$F$62</c:f>
              <c:numCache>
                <c:formatCode>0.00</c:formatCode>
                <c:ptCount val="7"/>
                <c:pt idx="0">
                  <c:v>1</c:v>
                </c:pt>
                <c:pt idx="1">
                  <c:v>1.0299111249999999</c:v>
                </c:pt>
                <c:pt idx="2">
                  <c:v>1.0556346925</c:v>
                </c:pt>
                <c:pt idx="3">
                  <c:v>1.0776103960374999</c:v>
                </c:pt>
                <c:pt idx="4">
                  <c:v>1.0962368910865001</c:v>
                </c:pt>
                <c:pt idx="5">
                  <c:v>1.1118753858880563</c:v>
                </c:pt>
                <c:pt idx="6">
                  <c:v>1.1248529306510708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Parameters!$G$55</c:f>
              <c:strCache>
                <c:ptCount val="1"/>
                <c:pt idx="0">
                  <c:v>KLB</c:v>
                </c:pt>
              </c:strCache>
            </c:strRef>
          </c:tx>
          <c:val>
            <c:numRef>
              <c:f>Parameters!$G$56:$G$62</c:f>
              <c:numCache>
                <c:formatCode>0.00</c:formatCode>
                <c:ptCount val="7"/>
                <c:pt idx="0">
                  <c:v>1</c:v>
                </c:pt>
                <c:pt idx="1">
                  <c:v>1.0319635416666666</c:v>
                </c:pt>
                <c:pt idx="2">
                  <c:v>1.0607307291666668</c:v>
                </c:pt>
                <c:pt idx="3">
                  <c:v>1.0865412890624999</c:v>
                </c:pt>
                <c:pt idx="4">
                  <c:v>1.1096189661458333</c:v>
                </c:pt>
                <c:pt idx="5">
                  <c:v>1.1301725222981771</c:v>
                </c:pt>
                <c:pt idx="6">
                  <c:v>1.148396675419922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Parameters!$H$55</c:f>
              <c:strCache>
                <c:ptCount val="1"/>
                <c:pt idx="0">
                  <c:v>GL</c:v>
                </c:pt>
              </c:strCache>
            </c:strRef>
          </c:tx>
          <c:val>
            <c:numRef>
              <c:f>Parameters!$H$56:$H$62</c:f>
              <c:numCache>
                <c:formatCode>0.00</c:formatCode>
                <c:ptCount val="7"/>
                <c:pt idx="0">
                  <c:v>1</c:v>
                </c:pt>
                <c:pt idx="1">
                  <c:v>1.0352837500000001</c:v>
                </c:pt>
                <c:pt idx="2">
                  <c:v>1.0684504749999999</c:v>
                </c:pt>
                <c:pt idx="3">
                  <c:v>1.099595441125</c:v>
                </c:pt>
                <c:pt idx="4">
                  <c:v>1.128810103855</c:v>
                </c:pt>
                <c:pt idx="5">
                  <c:v>1.1561822509241875</c:v>
                </c:pt>
                <c:pt idx="6">
                  <c:v>1.1817961400757542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Parameters!$I$55</c:f>
              <c:strCache>
                <c:ptCount val="1"/>
                <c:pt idx="0">
                  <c:v>L6</c:v>
                </c:pt>
              </c:strCache>
            </c:strRef>
          </c:tx>
          <c:val>
            <c:numRef>
              <c:f>Parameters!$I$56:$I$62</c:f>
              <c:numCache>
                <c:formatCode>0.00</c:formatCode>
                <c:ptCount val="7"/>
                <c:pt idx="0">
                  <c:v>1</c:v>
                </c:pt>
                <c:pt idx="1">
                  <c:v>1.03384375</c:v>
                </c:pt>
                <c:pt idx="2">
                  <c:v>1.0643031250000001</c:v>
                </c:pt>
                <c:pt idx="3">
                  <c:v>1.0916319531250001</c:v>
                </c:pt>
                <c:pt idx="4">
                  <c:v>1.116067140625</c:v>
                </c:pt>
                <c:pt idx="5">
                  <c:v>1.1378297294921875</c:v>
                </c:pt>
                <c:pt idx="6">
                  <c:v>1.1571258916210938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46880"/>
        <c:axId val="372748672"/>
      </c:lineChart>
      <c:catAx>
        <c:axId val="372746880"/>
        <c:scaling>
          <c:orientation val="minMax"/>
        </c:scaling>
        <c:delete val="0"/>
        <c:axPos val="b"/>
        <c:majorTickMark val="out"/>
        <c:minorTickMark val="none"/>
        <c:tickLblPos val="nextTo"/>
        <c:crossAx val="372748672"/>
        <c:crosses val="autoZero"/>
        <c:auto val="1"/>
        <c:lblAlgn val="ctr"/>
        <c:lblOffset val="100"/>
        <c:noMultiLvlLbl val="0"/>
      </c:catAx>
      <c:valAx>
        <c:axId val="372748672"/>
        <c:scaling>
          <c:orientation val="minMax"/>
          <c:max val="1.2"/>
          <c:min val="1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372746880"/>
        <c:crosses val="autoZero"/>
        <c:crossBetween val="between"/>
        <c:majorUnit val="5.000000000000001E-2"/>
        <c:min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11</xdr:row>
      <xdr:rowOff>104774</xdr:rowOff>
    </xdr:from>
    <xdr:to>
      <xdr:col>17</xdr:col>
      <xdr:colOff>114300</xdr:colOff>
      <xdr:row>25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49</xdr:row>
      <xdr:rowOff>38099</xdr:rowOff>
    </xdr:from>
    <xdr:to>
      <xdr:col>17</xdr:col>
      <xdr:colOff>123825</xdr:colOff>
      <xdr:row>62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topLeftCell="A11" workbookViewId="0">
      <selection activeCell="D17" sqref="D17"/>
    </sheetView>
  </sheetViews>
  <sheetFormatPr baseColWidth="10" defaultColWidth="9.109375" defaultRowHeight="13.2" x14ac:dyDescent="0.25"/>
  <cols>
    <col min="1" max="1" width="1.88671875" customWidth="1"/>
    <col min="2" max="2" width="18.88671875" bestFit="1" customWidth="1"/>
    <col min="3" max="3" width="10.109375" bestFit="1" customWidth="1"/>
    <col min="4" max="4" width="24.5546875" customWidth="1"/>
    <col min="5" max="5" width="9" bestFit="1" customWidth="1"/>
    <col min="6" max="6" width="6.5546875" bestFit="1" customWidth="1"/>
    <col min="7" max="7" width="5" bestFit="1" customWidth="1"/>
    <col min="8" max="9" width="5.109375" bestFit="1" customWidth="1"/>
  </cols>
  <sheetData>
    <row r="1" spans="2:9" ht="4.5" customHeight="1" thickBot="1" x14ac:dyDescent="0.3"/>
    <row r="2" spans="2:9" ht="24.6" x14ac:dyDescent="0.4">
      <c r="B2" s="141" t="s">
        <v>56</v>
      </c>
      <c r="C2" s="142"/>
      <c r="D2" s="142"/>
      <c r="E2" s="142"/>
      <c r="F2" s="142"/>
      <c r="G2" s="142"/>
      <c r="H2" s="142"/>
      <c r="I2" s="143"/>
    </row>
    <row r="3" spans="2:9" x14ac:dyDescent="0.25">
      <c r="B3" s="12" t="s">
        <v>53</v>
      </c>
      <c r="C3" s="1" t="s">
        <v>57</v>
      </c>
      <c r="D3" s="1" t="s">
        <v>55</v>
      </c>
      <c r="E3" s="1" t="s">
        <v>54</v>
      </c>
      <c r="F3" s="1" t="s">
        <v>58</v>
      </c>
      <c r="G3" s="9"/>
      <c r="H3" s="9"/>
      <c r="I3" s="13"/>
    </row>
    <row r="4" spans="2:9" x14ac:dyDescent="0.25">
      <c r="B4" s="34" t="s">
        <v>8</v>
      </c>
      <c r="C4" s="33">
        <f>CODE(B4)-64</f>
        <v>1</v>
      </c>
      <c r="D4" s="35" t="s">
        <v>86</v>
      </c>
      <c r="E4" s="36" t="s">
        <v>87</v>
      </c>
      <c r="F4" s="53">
        <v>5.3819444444444453E-3</v>
      </c>
      <c r="G4" s="9"/>
      <c r="H4" s="9"/>
      <c r="I4" s="13"/>
    </row>
    <row r="5" spans="2:9" x14ac:dyDescent="0.25">
      <c r="B5" s="34" t="s">
        <v>9</v>
      </c>
      <c r="C5" s="33">
        <f t="shared" ref="C5:C9" si="0">CODE(B5)-64</f>
        <v>2</v>
      </c>
      <c r="D5" s="35" t="s">
        <v>12</v>
      </c>
      <c r="E5" s="36" t="s">
        <v>88</v>
      </c>
      <c r="F5" s="53">
        <v>6.2499999999999995E-3</v>
      </c>
      <c r="G5" s="9"/>
      <c r="H5" s="9"/>
      <c r="I5" s="13"/>
    </row>
    <row r="6" spans="2:9" x14ac:dyDescent="0.25">
      <c r="B6" s="34" t="s">
        <v>11</v>
      </c>
      <c r="C6" s="33">
        <f t="shared" si="0"/>
        <v>3</v>
      </c>
      <c r="D6" s="35" t="s">
        <v>92</v>
      </c>
      <c r="E6" s="36" t="s">
        <v>89</v>
      </c>
      <c r="F6" s="53">
        <v>5.208333333333333E-3</v>
      </c>
      <c r="G6" s="9"/>
      <c r="H6" s="9"/>
      <c r="I6" s="13"/>
    </row>
    <row r="7" spans="2:9" x14ac:dyDescent="0.25">
      <c r="B7" s="34" t="s">
        <v>13</v>
      </c>
      <c r="C7" s="33">
        <f t="shared" si="0"/>
        <v>4</v>
      </c>
      <c r="D7" s="37" t="s">
        <v>15</v>
      </c>
      <c r="E7" s="60" t="s">
        <v>90</v>
      </c>
      <c r="F7" s="53">
        <v>6.076388888888889E-3</v>
      </c>
      <c r="G7" s="9"/>
      <c r="H7" s="9"/>
      <c r="I7" s="13"/>
    </row>
    <row r="8" spans="2:9" x14ac:dyDescent="0.25">
      <c r="B8" s="34" t="s">
        <v>14</v>
      </c>
      <c r="C8" s="33">
        <f t="shared" si="0"/>
        <v>5</v>
      </c>
      <c r="D8" s="37" t="s">
        <v>10</v>
      </c>
      <c r="E8" s="60" t="s">
        <v>91</v>
      </c>
      <c r="F8" s="53">
        <v>6.2499999999999995E-3</v>
      </c>
      <c r="G8" s="9"/>
      <c r="H8" s="9"/>
      <c r="I8" s="13"/>
    </row>
    <row r="9" spans="2:9" x14ac:dyDescent="0.25">
      <c r="B9" s="34" t="s">
        <v>123</v>
      </c>
      <c r="C9" s="33">
        <f t="shared" si="0"/>
        <v>6</v>
      </c>
      <c r="D9" s="37" t="s">
        <v>124</v>
      </c>
      <c r="E9" s="60" t="s">
        <v>124</v>
      </c>
      <c r="F9" s="53"/>
      <c r="G9" s="9"/>
      <c r="H9" s="9"/>
      <c r="I9" s="13"/>
    </row>
    <row r="10" spans="2:9" ht="13.8" thickBot="1" x14ac:dyDescent="0.3">
      <c r="B10" s="15"/>
      <c r="C10" s="16"/>
      <c r="D10" s="16"/>
      <c r="E10" s="16"/>
      <c r="F10" s="16"/>
      <c r="G10" s="16"/>
      <c r="H10" s="16"/>
      <c r="I10" s="17"/>
    </row>
    <row r="11" spans="2:9" ht="4.5" customHeight="1" thickBot="1" x14ac:dyDescent="0.3"/>
    <row r="12" spans="2:9" ht="24.6" x14ac:dyDescent="0.4">
      <c r="B12" s="141" t="s">
        <v>50</v>
      </c>
      <c r="C12" s="142"/>
      <c r="D12" s="142"/>
      <c r="E12" s="142"/>
      <c r="F12" s="142"/>
      <c r="G12" s="142"/>
      <c r="H12" s="142"/>
      <c r="I12" s="143"/>
    </row>
    <row r="13" spans="2:9" s="10" customFormat="1" x14ac:dyDescent="0.25">
      <c r="B13" s="12" t="s">
        <v>19</v>
      </c>
      <c r="C13" s="1" t="s">
        <v>69</v>
      </c>
      <c r="D13" s="23" t="str">
        <f>$E$4</f>
        <v>OB</v>
      </c>
      <c r="E13" s="23" t="str">
        <f>$E$5</f>
        <v>VB</v>
      </c>
      <c r="F13" s="23" t="str">
        <f>$E$6</f>
        <v>KHR</v>
      </c>
      <c r="G13" s="23" t="str">
        <f>$E$7</f>
        <v>KLB</v>
      </c>
      <c r="H13" s="23" t="str">
        <f>$E$8</f>
        <v>GL</v>
      </c>
      <c r="I13" s="24" t="str">
        <f>$E$9</f>
        <v>L6</v>
      </c>
    </row>
    <row r="14" spans="2:9" ht="12.75" customHeight="1" x14ac:dyDescent="0.25">
      <c r="B14" s="18" t="s">
        <v>95</v>
      </c>
      <c r="C14" s="25">
        <v>1</v>
      </c>
      <c r="D14" s="61">
        <v>1</v>
      </c>
      <c r="E14" s="61">
        <v>1</v>
      </c>
      <c r="F14" s="61">
        <v>1</v>
      </c>
      <c r="G14" s="61">
        <v>1</v>
      </c>
      <c r="H14" s="61">
        <v>1</v>
      </c>
      <c r="I14" s="62"/>
    </row>
    <row r="15" spans="2:9" ht="12.75" customHeight="1" x14ac:dyDescent="0.25">
      <c r="B15" s="18" t="s">
        <v>14</v>
      </c>
      <c r="C15" s="25">
        <v>0.9</v>
      </c>
      <c r="D15" s="61">
        <v>1</v>
      </c>
      <c r="E15" s="61">
        <v>1</v>
      </c>
      <c r="F15" s="61">
        <v>1</v>
      </c>
      <c r="G15" s="61">
        <v>1</v>
      </c>
      <c r="H15" s="61">
        <v>1</v>
      </c>
      <c r="I15" s="62"/>
    </row>
    <row r="16" spans="2:9" ht="12.75" customHeight="1" x14ac:dyDescent="0.25">
      <c r="B16" s="18" t="s">
        <v>13</v>
      </c>
      <c r="C16" s="25">
        <v>1.1000000000000001</v>
      </c>
      <c r="D16" s="61">
        <v>1.1000000000000001</v>
      </c>
      <c r="E16" s="61">
        <v>1.05</v>
      </c>
      <c r="F16" s="61">
        <v>1.05</v>
      </c>
      <c r="G16" s="63">
        <v>1.05</v>
      </c>
      <c r="H16" s="61">
        <v>1.05</v>
      </c>
      <c r="I16" s="62"/>
    </row>
    <row r="17" spans="2:9" ht="12.75" customHeight="1" x14ac:dyDescent="0.25">
      <c r="B17" s="18" t="s">
        <v>4</v>
      </c>
      <c r="C17" s="25">
        <v>0.95</v>
      </c>
      <c r="D17" s="61">
        <v>1</v>
      </c>
      <c r="E17" s="61">
        <v>1</v>
      </c>
      <c r="F17" s="61">
        <v>1</v>
      </c>
      <c r="G17" s="61">
        <v>1</v>
      </c>
      <c r="H17" s="63">
        <v>1</v>
      </c>
      <c r="I17" s="62"/>
    </row>
    <row r="18" spans="2:9" ht="12.75" customHeight="1" x14ac:dyDescent="0.25">
      <c r="B18" s="18" t="s">
        <v>5</v>
      </c>
      <c r="C18" s="25">
        <v>1.05</v>
      </c>
      <c r="D18" s="61">
        <v>1</v>
      </c>
      <c r="E18" s="61">
        <v>1</v>
      </c>
      <c r="F18" s="61">
        <v>1</v>
      </c>
      <c r="G18" s="61">
        <v>1</v>
      </c>
      <c r="H18" s="61">
        <v>1</v>
      </c>
      <c r="I18" s="62"/>
    </row>
    <row r="19" spans="2:9" ht="12.75" customHeight="1" x14ac:dyDescent="0.25">
      <c r="B19" s="18"/>
      <c r="C19" s="25"/>
      <c r="D19" s="61"/>
      <c r="E19" s="61"/>
      <c r="F19" s="61"/>
      <c r="G19" s="61"/>
      <c r="H19" s="61"/>
      <c r="I19" s="62"/>
    </row>
    <row r="20" spans="2:9" ht="12.75" customHeight="1" x14ac:dyDescent="0.25">
      <c r="B20" s="18"/>
      <c r="C20" s="25"/>
      <c r="D20" s="61"/>
      <c r="E20" s="61"/>
      <c r="F20" s="61"/>
      <c r="G20" s="61"/>
      <c r="H20" s="61"/>
      <c r="I20" s="62"/>
    </row>
    <row r="21" spans="2:9" ht="12.75" customHeight="1" x14ac:dyDescent="0.25">
      <c r="B21" s="18"/>
      <c r="C21" s="26"/>
      <c r="D21" s="63"/>
      <c r="E21" s="63"/>
      <c r="F21" s="63"/>
      <c r="G21" s="63"/>
      <c r="H21" s="63"/>
      <c r="I21" s="64"/>
    </row>
    <row r="22" spans="2:9" ht="12.75" customHeight="1" x14ac:dyDescent="0.25">
      <c r="B22" s="18"/>
      <c r="C22" s="25"/>
      <c r="D22" s="61"/>
      <c r="E22" s="61"/>
      <c r="F22" s="61"/>
      <c r="G22" s="61"/>
      <c r="H22" s="61"/>
      <c r="I22" s="62"/>
    </row>
    <row r="23" spans="2:9" ht="12.75" customHeight="1" x14ac:dyDescent="0.25">
      <c r="B23" s="18"/>
      <c r="C23" s="25"/>
      <c r="D23" s="61"/>
      <c r="E23" s="61"/>
      <c r="F23" s="61"/>
      <c r="G23" s="61"/>
      <c r="H23" s="61"/>
      <c r="I23" s="62"/>
    </row>
    <row r="24" spans="2:9" ht="12.75" customHeight="1" x14ac:dyDescent="0.25">
      <c r="B24" s="18"/>
      <c r="C24" s="25"/>
      <c r="D24" s="61"/>
      <c r="E24" s="61"/>
      <c r="F24" s="61"/>
      <c r="G24" s="61"/>
      <c r="H24" s="61"/>
      <c r="I24" s="62"/>
    </row>
    <row r="25" spans="2:9" ht="12.75" customHeight="1" x14ac:dyDescent="0.25">
      <c r="B25" s="18"/>
      <c r="C25" s="25"/>
      <c r="D25" s="61"/>
      <c r="E25" s="61"/>
      <c r="F25" s="61"/>
      <c r="G25" s="61"/>
      <c r="H25" s="61"/>
      <c r="I25" s="62"/>
    </row>
    <row r="26" spans="2:9" ht="13.8" thickBot="1" x14ac:dyDescent="0.3">
      <c r="B26" s="15"/>
      <c r="C26" s="19"/>
      <c r="D26" s="19"/>
      <c r="E26" s="19"/>
      <c r="F26" s="19"/>
      <c r="G26" s="19"/>
      <c r="H26" s="19"/>
      <c r="I26" s="20"/>
    </row>
    <row r="27" spans="2:9" ht="4.5" customHeight="1" thickBot="1" x14ac:dyDescent="0.3">
      <c r="C27" s="9"/>
    </row>
    <row r="28" spans="2:9" ht="24.6" x14ac:dyDescent="0.4">
      <c r="B28" s="141" t="s">
        <v>49</v>
      </c>
      <c r="C28" s="142"/>
      <c r="D28" s="142"/>
      <c r="E28" s="142"/>
      <c r="F28" s="142"/>
      <c r="G28" s="142"/>
      <c r="H28" s="142"/>
      <c r="I28" s="143"/>
    </row>
    <row r="29" spans="2:9" x14ac:dyDescent="0.25">
      <c r="B29" s="18" t="s">
        <v>31</v>
      </c>
      <c r="C29" s="38">
        <v>9</v>
      </c>
      <c r="D29" s="9"/>
      <c r="E29" s="9"/>
      <c r="F29" s="9"/>
      <c r="G29" s="9"/>
      <c r="H29" s="9"/>
      <c r="I29" s="13"/>
    </row>
    <row r="30" spans="2:9" ht="13.8" thickBot="1" x14ac:dyDescent="0.3">
      <c r="B30" s="15"/>
      <c r="C30" s="16"/>
      <c r="D30" s="16"/>
      <c r="E30" s="16"/>
      <c r="F30" s="16"/>
      <c r="G30" s="16"/>
      <c r="H30" s="16"/>
      <c r="I30" s="17"/>
    </row>
    <row r="31" spans="2:9" ht="4.5" customHeight="1" thickBot="1" x14ac:dyDescent="0.3"/>
    <row r="32" spans="2:9" ht="24.6" x14ac:dyDescent="0.4">
      <c r="B32" s="141" t="s">
        <v>48</v>
      </c>
      <c r="C32" s="142"/>
      <c r="D32" s="142"/>
      <c r="E32" s="142"/>
      <c r="F32" s="142"/>
      <c r="G32" s="142"/>
      <c r="H32" s="142"/>
      <c r="I32" s="143"/>
    </row>
    <row r="33" spans="2:9" x14ac:dyDescent="0.25">
      <c r="B33" s="12" t="s">
        <v>25</v>
      </c>
      <c r="C33" s="6">
        <v>1.375</v>
      </c>
      <c r="D33" s="9"/>
      <c r="E33" s="9"/>
      <c r="F33" s="9"/>
      <c r="G33" s="9"/>
      <c r="H33" s="9"/>
      <c r="I33" s="13"/>
    </row>
    <row r="34" spans="2:9" x14ac:dyDescent="0.25">
      <c r="B34" s="12" t="s">
        <v>27</v>
      </c>
      <c r="C34" s="39">
        <v>0.5</v>
      </c>
      <c r="D34" s="9"/>
      <c r="E34" s="9"/>
      <c r="F34" s="9"/>
      <c r="G34" s="9"/>
      <c r="H34" s="9"/>
      <c r="I34" s="13"/>
    </row>
    <row r="35" spans="2:9" x14ac:dyDescent="0.25">
      <c r="B35" s="12" t="s">
        <v>1</v>
      </c>
      <c r="C35" s="6">
        <f>C33+C34</f>
        <v>1.875</v>
      </c>
      <c r="D35" s="9"/>
      <c r="E35" s="9"/>
      <c r="F35" s="9"/>
      <c r="G35" s="9"/>
      <c r="H35" s="9"/>
      <c r="I35" s="13"/>
    </row>
    <row r="36" spans="2:9" x14ac:dyDescent="0.25">
      <c r="B36" s="12" t="s">
        <v>23</v>
      </c>
      <c r="C36" s="6">
        <v>0.5</v>
      </c>
      <c r="D36" s="9"/>
      <c r="E36" s="9"/>
      <c r="F36" s="9"/>
      <c r="G36" s="9"/>
      <c r="H36" s="9"/>
      <c r="I36" s="13"/>
    </row>
    <row r="37" spans="2:9" x14ac:dyDescent="0.25">
      <c r="B37" s="12" t="s">
        <v>0</v>
      </c>
      <c r="C37" s="6">
        <f>C33+C36</f>
        <v>1.875</v>
      </c>
      <c r="D37" s="9"/>
      <c r="E37" s="9"/>
      <c r="F37" s="9"/>
      <c r="G37" s="9"/>
      <c r="H37" s="9"/>
      <c r="I37" s="13"/>
    </row>
    <row r="38" spans="2:9" ht="13.8" thickBot="1" x14ac:dyDescent="0.3">
      <c r="B38" s="21"/>
      <c r="C38" s="22"/>
      <c r="D38" s="16"/>
      <c r="E38" s="16"/>
      <c r="F38" s="16"/>
      <c r="G38" s="16"/>
      <c r="H38" s="16"/>
      <c r="I38" s="17"/>
    </row>
    <row r="39" spans="2:9" ht="4.5" customHeight="1" thickBot="1" x14ac:dyDescent="0.3"/>
    <row r="40" spans="2:9" ht="24.6" x14ac:dyDescent="0.4">
      <c r="B40" s="141" t="s">
        <v>46</v>
      </c>
      <c r="C40" s="142"/>
      <c r="D40" s="142"/>
      <c r="E40" s="142"/>
      <c r="F40" s="142"/>
      <c r="G40" s="142"/>
      <c r="H40" s="142"/>
      <c r="I40" s="143"/>
    </row>
    <row r="41" spans="2:9" x14ac:dyDescent="0.25">
      <c r="B41" s="12" t="s">
        <v>44</v>
      </c>
      <c r="C41" s="1" t="s">
        <v>23</v>
      </c>
      <c r="D41" s="1" t="s">
        <v>24</v>
      </c>
      <c r="E41" s="1" t="s">
        <v>45</v>
      </c>
      <c r="F41" s="9"/>
      <c r="G41" s="9"/>
      <c r="H41" s="9"/>
      <c r="I41" s="13"/>
    </row>
    <row r="42" spans="2:9" x14ac:dyDescent="0.25">
      <c r="B42" s="14">
        <v>1.375</v>
      </c>
      <c r="C42" s="32">
        <f t="shared" ref="C42:C47" si="1">B42-C$33</f>
        <v>0</v>
      </c>
      <c r="D42" s="38">
        <v>1</v>
      </c>
      <c r="E42" s="32">
        <f>IF(ISNUMBER(B44),B44-B42,1+Startzeit-B42)</f>
        <v>0.47916666666666652</v>
      </c>
      <c r="F42" s="9"/>
      <c r="G42" s="9"/>
      <c r="H42" s="9"/>
      <c r="I42" s="13"/>
    </row>
    <row r="43" spans="2:9" x14ac:dyDescent="0.25">
      <c r="B43" s="14">
        <v>1.8229166666666665</v>
      </c>
      <c r="C43" s="32">
        <f t="shared" si="1"/>
        <v>0.44791666666666652</v>
      </c>
      <c r="D43" s="38">
        <v>1</v>
      </c>
      <c r="E43" s="32">
        <f>IF(ISNUMBER(B44),B44-B43,1+Startzeit-B43)</f>
        <v>3.125E-2</v>
      </c>
      <c r="F43" s="9"/>
      <c r="G43" s="9"/>
      <c r="H43" s="9"/>
      <c r="I43" s="13"/>
    </row>
    <row r="44" spans="2:9" x14ac:dyDescent="0.25">
      <c r="B44" s="14">
        <v>1.8541666666666665</v>
      </c>
      <c r="C44" s="32">
        <f t="shared" si="1"/>
        <v>0.47916666666666652</v>
      </c>
      <c r="D44" s="38">
        <v>1</v>
      </c>
      <c r="E44" s="32">
        <f>IF(ISNUMBER(B45),B45-B44,1+Startzeit-B44)</f>
        <v>4.1666666666666963E-2</v>
      </c>
      <c r="F44" s="9"/>
      <c r="G44" s="9"/>
      <c r="H44" s="9"/>
      <c r="I44" s="13"/>
    </row>
    <row r="45" spans="2:9" x14ac:dyDescent="0.25">
      <c r="B45" s="14">
        <v>1.8958333333333335</v>
      </c>
      <c r="C45" s="32">
        <f t="shared" si="1"/>
        <v>0.52083333333333348</v>
      </c>
      <c r="D45" s="38">
        <v>1.1200000000000001</v>
      </c>
      <c r="E45" s="32">
        <f>IF(ISNUMBER(B46),B46-B45,1+Startzeit-B45)</f>
        <v>0.29166666666666652</v>
      </c>
      <c r="F45" s="9"/>
      <c r="G45" s="9"/>
      <c r="H45" s="9"/>
      <c r="I45" s="13"/>
    </row>
    <row r="46" spans="2:9" x14ac:dyDescent="0.25">
      <c r="B46" s="14">
        <v>2.1875</v>
      </c>
      <c r="C46" s="32">
        <f t="shared" si="1"/>
        <v>0.8125</v>
      </c>
      <c r="D46" s="38">
        <v>1.06</v>
      </c>
      <c r="E46" s="32">
        <f>IF(ISNUMBER(B47),B47-B46,1+Startzeit-B46)</f>
        <v>4.1666666666666519E-2</v>
      </c>
      <c r="F46" s="9"/>
      <c r="G46" s="9"/>
      <c r="H46" s="9"/>
      <c r="I46" s="13"/>
    </row>
    <row r="47" spans="2:9" x14ac:dyDescent="0.25">
      <c r="B47" s="14">
        <v>2.2291666666666665</v>
      </c>
      <c r="C47" s="32">
        <f t="shared" si="1"/>
        <v>0.85416666666666652</v>
      </c>
      <c r="D47" s="38">
        <v>1</v>
      </c>
      <c r="E47" s="32">
        <f>IF(ISNUMBER(B48),B48-B47,1+Startzeit-B47)</f>
        <v>0.14583333333333348</v>
      </c>
      <c r="F47" s="9"/>
      <c r="G47" s="9"/>
      <c r="H47" s="9"/>
      <c r="I47" s="13"/>
    </row>
    <row r="48" spans="2:9" ht="13.8" thickBot="1" x14ac:dyDescent="0.3">
      <c r="B48" s="15"/>
      <c r="C48" s="16"/>
      <c r="D48" s="16"/>
      <c r="E48" s="16"/>
      <c r="F48" s="16"/>
      <c r="G48" s="16"/>
      <c r="H48" s="16"/>
      <c r="I48" s="17"/>
    </row>
    <row r="49" spans="2:9" ht="4.5" customHeight="1" thickBot="1" x14ac:dyDescent="0.3">
      <c r="B49" s="9"/>
      <c r="C49" s="9"/>
      <c r="D49" s="9"/>
      <c r="E49" s="9"/>
      <c r="F49" s="9"/>
      <c r="G49" s="9"/>
      <c r="H49" s="9"/>
      <c r="I49" s="9"/>
    </row>
    <row r="50" spans="2:9" ht="24.6" x14ac:dyDescent="0.4">
      <c r="B50" s="141" t="s">
        <v>52</v>
      </c>
      <c r="C50" s="142"/>
      <c r="D50" s="142"/>
      <c r="E50" s="142"/>
      <c r="F50" s="142"/>
      <c r="G50" s="142"/>
      <c r="H50" s="142"/>
      <c r="I50" s="143"/>
    </row>
    <row r="51" spans="2:9" x14ac:dyDescent="0.25">
      <c r="B51" s="29"/>
      <c r="C51" s="23" t="s">
        <v>24</v>
      </c>
      <c r="D51" s="23" t="str">
        <f>$E$4</f>
        <v>OB</v>
      </c>
      <c r="E51" s="23" t="str">
        <f>$E$5</f>
        <v>VB</v>
      </c>
      <c r="F51" s="23" t="str">
        <f>$E$6</f>
        <v>KHR</v>
      </c>
      <c r="G51" s="23" t="str">
        <f>$E$7</f>
        <v>KLB</v>
      </c>
      <c r="H51" s="23" t="str">
        <f>$E$8</f>
        <v>GL</v>
      </c>
      <c r="I51" s="24" t="str">
        <f>$E$9</f>
        <v>L6</v>
      </c>
    </row>
    <row r="52" spans="2:9" x14ac:dyDescent="0.25">
      <c r="B52" s="12" t="s">
        <v>51</v>
      </c>
      <c r="C52" s="7">
        <v>0.9</v>
      </c>
      <c r="D52" s="38">
        <v>0.8</v>
      </c>
      <c r="E52" s="38">
        <v>0.85</v>
      </c>
      <c r="F52" s="38">
        <v>0.83</v>
      </c>
      <c r="G52" s="38">
        <v>0.85</v>
      </c>
      <c r="H52" s="38">
        <v>0.9</v>
      </c>
      <c r="I52" s="40">
        <v>0.9</v>
      </c>
    </row>
    <row r="53" spans="2:9" x14ac:dyDescent="0.25">
      <c r="B53" s="12" t="s">
        <v>60</v>
      </c>
      <c r="C53" s="7">
        <v>0.93</v>
      </c>
      <c r="D53" s="38">
        <v>0.93</v>
      </c>
      <c r="E53" s="65">
        <v>0.95</v>
      </c>
      <c r="F53" s="38">
        <v>0.93</v>
      </c>
      <c r="G53" s="38">
        <v>0.95</v>
      </c>
      <c r="H53" s="38">
        <v>0.97</v>
      </c>
      <c r="I53" s="40">
        <v>0.95</v>
      </c>
    </row>
    <row r="54" spans="2:9" x14ac:dyDescent="0.25">
      <c r="B54" s="28" t="s">
        <v>70</v>
      </c>
      <c r="C54" s="27"/>
      <c r="D54" s="27"/>
      <c r="E54" s="27"/>
      <c r="F54" s="27"/>
      <c r="G54" s="27"/>
      <c r="H54" s="9"/>
      <c r="I54" s="13"/>
    </row>
    <row r="55" spans="2:9" x14ac:dyDescent="0.25">
      <c r="B55" s="12" t="s">
        <v>26</v>
      </c>
      <c r="C55" s="4" t="s">
        <v>34</v>
      </c>
      <c r="D55" s="23" t="str">
        <f>$E$4</f>
        <v>OB</v>
      </c>
      <c r="E55" s="23" t="str">
        <f>$E$5</f>
        <v>VB</v>
      </c>
      <c r="F55" s="23" t="str">
        <f>$E$6</f>
        <v>KHR</v>
      </c>
      <c r="G55" s="23" t="str">
        <f>$E$7</f>
        <v>KLB</v>
      </c>
      <c r="H55" s="23" t="str">
        <f>$E$8</f>
        <v>GL</v>
      </c>
      <c r="I55" s="24" t="str">
        <f>$E$9</f>
        <v>L6</v>
      </c>
    </row>
    <row r="56" spans="2:9" x14ac:dyDescent="0.25">
      <c r="B56" s="18">
        <v>1</v>
      </c>
      <c r="C56" s="30">
        <f>(24+($B56-1)*C$52*POWER(C$53,$B56))/24</f>
        <v>1</v>
      </c>
      <c r="D56" s="30">
        <f t="shared" ref="D56:I56" si="2">(24+($B56-1)*D$52*POWER(D$53,$B56))/24</f>
        <v>1</v>
      </c>
      <c r="E56" s="30">
        <f t="shared" si="2"/>
        <v>1</v>
      </c>
      <c r="F56" s="30">
        <f t="shared" si="2"/>
        <v>1</v>
      </c>
      <c r="G56" s="30">
        <f t="shared" si="2"/>
        <v>1</v>
      </c>
      <c r="H56" s="30">
        <f t="shared" si="2"/>
        <v>1</v>
      </c>
      <c r="I56" s="31">
        <f t="shared" si="2"/>
        <v>1</v>
      </c>
    </row>
    <row r="57" spans="2:9" x14ac:dyDescent="0.25">
      <c r="B57" s="18">
        <v>2</v>
      </c>
      <c r="C57" s="30">
        <f t="shared" ref="C57:I62" si="3">(24+($B57-1)*C$52*POWER(C$53,$B57))/24</f>
        <v>1.03243375</v>
      </c>
      <c r="D57" s="30">
        <f t="shared" si="3"/>
        <v>1.0288299999999999</v>
      </c>
      <c r="E57" s="30">
        <f t="shared" si="3"/>
        <v>1.0319635416666666</v>
      </c>
      <c r="F57" s="30">
        <f t="shared" si="3"/>
        <v>1.0299111249999999</v>
      </c>
      <c r="G57" s="30">
        <f t="shared" si="3"/>
        <v>1.0319635416666666</v>
      </c>
      <c r="H57" s="30">
        <f t="shared" si="3"/>
        <v>1.0352837500000001</v>
      </c>
      <c r="I57" s="31">
        <f t="shared" si="3"/>
        <v>1.03384375</v>
      </c>
    </row>
    <row r="58" spans="2:9" x14ac:dyDescent="0.25">
      <c r="B58" s="18">
        <v>3</v>
      </c>
      <c r="C58" s="30">
        <f t="shared" si="3"/>
        <v>1.0603267750000001</v>
      </c>
      <c r="D58" s="30">
        <f t="shared" si="3"/>
        <v>1.0536238</v>
      </c>
      <c r="E58" s="30">
        <f t="shared" si="3"/>
        <v>1.0607307291666668</v>
      </c>
      <c r="F58" s="30">
        <f t="shared" si="3"/>
        <v>1.0556346925</v>
      </c>
      <c r="G58" s="30">
        <f t="shared" si="3"/>
        <v>1.0607307291666668</v>
      </c>
      <c r="H58" s="30">
        <f t="shared" si="3"/>
        <v>1.0684504749999999</v>
      </c>
      <c r="I58" s="31">
        <f t="shared" si="3"/>
        <v>1.0643031250000001</v>
      </c>
    </row>
    <row r="59" spans="2:9" x14ac:dyDescent="0.25">
      <c r="B59" s="18">
        <v>4</v>
      </c>
      <c r="C59" s="30">
        <f t="shared" si="3"/>
        <v>1.084155851125</v>
      </c>
      <c r="D59" s="30">
        <f t="shared" si="3"/>
        <v>1.074805201</v>
      </c>
      <c r="E59" s="30">
        <f t="shared" si="3"/>
        <v>1.0865412890624999</v>
      </c>
      <c r="F59" s="30">
        <f t="shared" si="3"/>
        <v>1.0776103960374999</v>
      </c>
      <c r="G59" s="30">
        <f t="shared" si="3"/>
        <v>1.0865412890624999</v>
      </c>
      <c r="H59" s="30">
        <f t="shared" si="3"/>
        <v>1.099595441125</v>
      </c>
      <c r="I59" s="31">
        <f t="shared" si="3"/>
        <v>1.0916319531250001</v>
      </c>
    </row>
    <row r="60" spans="2:9" x14ac:dyDescent="0.25">
      <c r="B60" s="18">
        <v>5</v>
      </c>
      <c r="C60" s="30">
        <f t="shared" si="3"/>
        <v>1.104353255395</v>
      </c>
      <c r="D60" s="30">
        <f t="shared" si="3"/>
        <v>1.09275844924</v>
      </c>
      <c r="E60" s="30">
        <f t="shared" si="3"/>
        <v>1.1096189661458333</v>
      </c>
      <c r="F60" s="30">
        <f t="shared" si="3"/>
        <v>1.0962368910865001</v>
      </c>
      <c r="G60" s="30">
        <f t="shared" si="3"/>
        <v>1.1096189661458333</v>
      </c>
      <c r="H60" s="30">
        <f t="shared" si="3"/>
        <v>1.128810103855</v>
      </c>
      <c r="I60" s="31">
        <f t="shared" si="3"/>
        <v>1.116067140625</v>
      </c>
    </row>
    <row r="61" spans="2:9" x14ac:dyDescent="0.25">
      <c r="B61" s="18">
        <v>6</v>
      </c>
      <c r="C61" s="30">
        <f t="shared" si="3"/>
        <v>1.1213106593966875</v>
      </c>
      <c r="D61" s="30">
        <f t="shared" si="3"/>
        <v>1.1078316972415001</v>
      </c>
      <c r="E61" s="30">
        <f t="shared" si="3"/>
        <v>1.1301725222981771</v>
      </c>
      <c r="F61" s="30">
        <f t="shared" si="3"/>
        <v>1.1118753858880563</v>
      </c>
      <c r="G61" s="30">
        <f t="shared" si="3"/>
        <v>1.1301725222981771</v>
      </c>
      <c r="H61" s="30">
        <f t="shared" si="3"/>
        <v>1.1561822509241875</v>
      </c>
      <c r="I61" s="31">
        <f t="shared" si="3"/>
        <v>1.1378297294921875</v>
      </c>
    </row>
    <row r="62" spans="2:9" x14ac:dyDescent="0.25">
      <c r="B62" s="18">
        <v>7</v>
      </c>
      <c r="C62" s="30">
        <f t="shared" si="3"/>
        <v>1.1353826958867033</v>
      </c>
      <c r="D62" s="30">
        <f t="shared" si="3"/>
        <v>1.120340174121514</v>
      </c>
      <c r="E62" s="30">
        <f t="shared" si="3"/>
        <v>1.148396675419922</v>
      </c>
      <c r="F62" s="30">
        <f t="shared" si="3"/>
        <v>1.1248529306510708</v>
      </c>
      <c r="G62" s="30">
        <f t="shared" si="3"/>
        <v>1.148396675419922</v>
      </c>
      <c r="H62" s="30">
        <f t="shared" si="3"/>
        <v>1.1817961400757542</v>
      </c>
      <c r="I62" s="31">
        <f t="shared" si="3"/>
        <v>1.1571258916210938</v>
      </c>
    </row>
    <row r="63" spans="2:9" ht="13.8" thickBot="1" x14ac:dyDescent="0.3">
      <c r="B63" s="15"/>
      <c r="C63" s="16"/>
      <c r="D63" s="16"/>
      <c r="E63" s="16"/>
      <c r="F63" s="16"/>
      <c r="G63" s="16"/>
      <c r="H63" s="16"/>
      <c r="I63" s="17"/>
    </row>
    <row r="64" spans="2:9" ht="4.5" customHeight="1" thickBot="1" x14ac:dyDescent="0.3">
      <c r="C64" s="9"/>
    </row>
    <row r="65" spans="2:9" ht="24.6" x14ac:dyDescent="0.4">
      <c r="B65" s="141" t="s">
        <v>75</v>
      </c>
      <c r="C65" s="142"/>
      <c r="D65" s="142"/>
      <c r="E65" s="142"/>
      <c r="F65" s="142"/>
      <c r="G65" s="142"/>
      <c r="H65" s="142"/>
      <c r="I65" s="143"/>
    </row>
    <row r="66" spans="2:9" x14ac:dyDescent="0.25">
      <c r="B66" s="18" t="s">
        <v>76</v>
      </c>
      <c r="C66" s="144" t="s">
        <v>78</v>
      </c>
      <c r="D66" s="144"/>
      <c r="E66" s="144"/>
      <c r="F66" s="144"/>
      <c r="G66" s="144"/>
      <c r="H66" s="144"/>
      <c r="I66" s="13"/>
    </row>
    <row r="67" spans="2:9" ht="13.8" thickBot="1" x14ac:dyDescent="0.3">
      <c r="B67" s="15"/>
      <c r="C67" s="16"/>
      <c r="D67" s="16"/>
      <c r="E67" s="16"/>
      <c r="F67" s="16"/>
      <c r="G67" s="16"/>
      <c r="H67" s="16"/>
      <c r="I67" s="17"/>
    </row>
    <row r="68" spans="2:9" ht="4.5" customHeight="1" x14ac:dyDescent="0.25"/>
  </sheetData>
  <mergeCells count="8">
    <mergeCell ref="B65:I65"/>
    <mergeCell ref="C66:H66"/>
    <mergeCell ref="B2:I2"/>
    <mergeCell ref="B40:I40"/>
    <mergeCell ref="B50:I50"/>
    <mergeCell ref="B28:I28"/>
    <mergeCell ref="B12:I12"/>
    <mergeCell ref="B32:I32"/>
  </mergeCells>
  <phoneticPr fontId="1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89" orientation="portrait" r:id="rId1"/>
  <headerFooter alignWithMargins="0">
    <oddHeader>&amp;C&amp;"Arial,Fett"&amp;24&amp;A</oddHeader>
    <oddFooter>&amp;LErstellt von Valerio Casanova (2009)
Überarbeitet von Veikko Baath&amp;C&amp;D&amp;R&amp;F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abSelected="1" zoomScale="120" zoomScaleNormal="120" workbookViewId="0">
      <pane xSplit="9" ySplit="2" topLeftCell="AD3" activePane="bottomRight" state="frozen"/>
      <selection pane="topRight" activeCell="J1" sqref="J1"/>
      <selection pane="bottomLeft" activeCell="A3" sqref="A3"/>
      <selection pane="bottomRight" activeCell="AR27" sqref="AR27"/>
    </sheetView>
  </sheetViews>
  <sheetFormatPr baseColWidth="10" defaultColWidth="9.109375" defaultRowHeight="13.2" x14ac:dyDescent="0.25"/>
  <cols>
    <col min="1" max="1" width="2.6640625" style="45" bestFit="1" customWidth="1"/>
    <col min="2" max="2" width="4" style="45" bestFit="1" customWidth="1"/>
    <col min="3" max="3" width="22" style="46" bestFit="1" customWidth="1"/>
    <col min="4" max="5" width="4.109375" style="45" bestFit="1" customWidth="1"/>
    <col min="6" max="6" width="1.88671875" style="68" customWidth="1"/>
    <col min="7" max="7" width="4.88671875" style="68" bestFit="1" customWidth="1"/>
    <col min="8" max="8" width="7" style="45" bestFit="1" customWidth="1"/>
    <col min="9" max="9" width="4.88671875" style="70" bestFit="1" customWidth="1"/>
    <col min="10" max="10" width="4" style="45" bestFit="1" customWidth="1"/>
    <col min="11" max="11" width="5.44140625" style="47" customWidth="1"/>
    <col min="12" max="14" width="4.88671875" style="47" customWidth="1"/>
    <col min="15" max="15" width="7.5546875" style="48" bestFit="1" customWidth="1"/>
    <col min="16" max="16" width="7" style="44" bestFit="1" customWidth="1"/>
    <col min="17" max="17" width="1.88671875" style="129" bestFit="1" customWidth="1"/>
    <col min="18" max="18" width="8.33203125" style="44" bestFit="1" customWidth="1"/>
    <col min="19" max="19" width="5.88671875" style="49" customWidth="1"/>
    <col min="20" max="20" width="7" style="50" customWidth="1"/>
    <col min="21" max="21" width="7.33203125" style="44" customWidth="1"/>
    <col min="22" max="22" width="3.109375" style="44" customWidth="1"/>
    <col min="23" max="23" width="7.6640625" style="68" customWidth="1"/>
    <col min="24" max="24" width="7.5546875" style="44" customWidth="1"/>
    <col min="25" max="25" width="10.33203125" style="44" customWidth="1"/>
    <col min="26" max="26" width="4.88671875" style="47" customWidth="1"/>
    <col min="27" max="27" width="4.44140625" style="51" bestFit="1" customWidth="1"/>
    <col min="28" max="28" width="4.5546875" style="69" bestFit="1" customWidth="1"/>
    <col min="29" max="29" width="4.88671875" style="49" bestFit="1" customWidth="1"/>
    <col min="30" max="30" width="8" style="49" bestFit="1" customWidth="1"/>
    <col min="31" max="31" width="8.33203125" style="49" bestFit="1" customWidth="1"/>
    <col min="32" max="32" width="1.5546875" style="44" customWidth="1"/>
    <col min="33" max="33" width="4.109375" style="43" bestFit="1" customWidth="1"/>
    <col min="34" max="34" width="2.6640625" style="43" bestFit="1" customWidth="1"/>
    <col min="35" max="35" width="5" style="43" bestFit="1" customWidth="1"/>
    <col min="36" max="36" width="8.109375" style="43" bestFit="1" customWidth="1"/>
    <col min="37" max="39" width="7" style="43" bestFit="1" customWidth="1"/>
    <col min="40" max="40" width="6.33203125" style="43" bestFit="1" customWidth="1"/>
    <col min="41" max="41" width="4" style="43" bestFit="1" customWidth="1"/>
    <col min="42" max="42" width="4.44140625" style="43" bestFit="1" customWidth="1"/>
    <col min="43" max="43" width="4.5546875" style="43" bestFit="1" customWidth="1"/>
    <col min="44" max="44" width="8.33203125" style="43" bestFit="1" customWidth="1"/>
    <col min="45" max="45" width="8" style="43" bestFit="1" customWidth="1"/>
    <col min="46" max="46" width="4" style="43" bestFit="1" customWidth="1"/>
    <col min="47" max="47" width="9.109375" style="43" bestFit="1" customWidth="1"/>
    <col min="48" max="48" width="5" style="43" bestFit="1" customWidth="1"/>
    <col min="49" max="16384" width="9.109375" style="43"/>
  </cols>
  <sheetData>
    <row r="1" spans="1:46" s="42" customFormat="1" ht="15" customHeight="1" x14ac:dyDescent="0.25">
      <c r="A1" s="157" t="s">
        <v>18</v>
      </c>
      <c r="B1" s="157"/>
      <c r="C1" s="157"/>
      <c r="D1" s="157"/>
      <c r="E1" s="159" t="s">
        <v>19</v>
      </c>
      <c r="F1" s="160"/>
      <c r="G1" s="160"/>
      <c r="H1" s="160"/>
      <c r="I1" s="161"/>
      <c r="J1" s="132" t="s">
        <v>16</v>
      </c>
      <c r="K1" s="154" t="s">
        <v>38</v>
      </c>
      <c r="L1" s="154"/>
      <c r="M1" s="154"/>
      <c r="N1" s="154"/>
      <c r="O1" s="158" t="s">
        <v>82</v>
      </c>
      <c r="P1" s="158"/>
      <c r="Q1" s="158"/>
      <c r="R1" s="158"/>
      <c r="S1" s="158"/>
      <c r="T1" s="162" t="s">
        <v>66</v>
      </c>
      <c r="U1" s="163"/>
      <c r="V1" s="163"/>
      <c r="W1" s="163"/>
      <c r="X1" s="163"/>
      <c r="Y1" s="163"/>
      <c r="Z1" s="163"/>
      <c r="AA1" s="163"/>
      <c r="AB1" s="164"/>
      <c r="AC1" s="155" t="s">
        <v>64</v>
      </c>
      <c r="AD1" s="155"/>
      <c r="AE1" s="155"/>
      <c r="AF1" s="41"/>
      <c r="AG1" s="59"/>
      <c r="AH1" s="59"/>
      <c r="AI1" s="59"/>
      <c r="AJ1" s="59"/>
      <c r="AK1" s="59"/>
      <c r="AL1" s="59"/>
      <c r="AM1" s="59"/>
      <c r="AN1" s="59"/>
      <c r="AO1" s="59"/>
      <c r="AP1" s="71"/>
      <c r="AQ1" s="71"/>
      <c r="AR1" s="71"/>
      <c r="AS1" s="71"/>
    </row>
    <row r="2" spans="1:46" s="86" customFormat="1" ht="11.25" customHeight="1" x14ac:dyDescent="0.25">
      <c r="A2" s="72" t="s">
        <v>16</v>
      </c>
      <c r="B2" s="72" t="s">
        <v>77</v>
      </c>
      <c r="C2" s="73" t="s">
        <v>18</v>
      </c>
      <c r="D2" s="72" t="s">
        <v>37</v>
      </c>
      <c r="E2" s="72" t="s">
        <v>71</v>
      </c>
      <c r="F2" s="74" t="s">
        <v>16</v>
      </c>
      <c r="G2" s="74" t="s">
        <v>19</v>
      </c>
      <c r="H2" s="72" t="s">
        <v>36</v>
      </c>
      <c r="I2" s="75" t="s">
        <v>72</v>
      </c>
      <c r="J2" s="72" t="s">
        <v>32</v>
      </c>
      <c r="K2" s="76" t="s">
        <v>34</v>
      </c>
      <c r="L2" s="76" t="s">
        <v>19</v>
      </c>
      <c r="M2" s="76" t="s">
        <v>59</v>
      </c>
      <c r="N2" s="76" t="s">
        <v>35</v>
      </c>
      <c r="O2" s="77" t="s">
        <v>25</v>
      </c>
      <c r="P2" s="78" t="s">
        <v>79</v>
      </c>
      <c r="Q2" s="126"/>
      <c r="R2" s="78" t="s">
        <v>120</v>
      </c>
      <c r="S2" s="79" t="s">
        <v>28</v>
      </c>
      <c r="T2" s="80" t="s">
        <v>22</v>
      </c>
      <c r="U2" s="78" t="s">
        <v>23</v>
      </c>
      <c r="V2" s="78" t="s">
        <v>83</v>
      </c>
      <c r="W2" s="74" t="s">
        <v>84</v>
      </c>
      <c r="X2" s="78" t="s">
        <v>80</v>
      </c>
      <c r="Y2" s="78" t="s">
        <v>81</v>
      </c>
      <c r="Z2" s="76" t="s">
        <v>29</v>
      </c>
      <c r="AA2" s="81" t="s">
        <v>30</v>
      </c>
      <c r="AB2" s="82" t="s">
        <v>33</v>
      </c>
      <c r="AC2" s="79" t="s">
        <v>68</v>
      </c>
      <c r="AD2" s="79" t="s">
        <v>39</v>
      </c>
      <c r="AE2" s="79" t="s">
        <v>67</v>
      </c>
      <c r="AF2" s="83"/>
      <c r="AG2" s="156" t="s">
        <v>19</v>
      </c>
      <c r="AH2" s="156"/>
      <c r="AI2" s="84" t="s">
        <v>41</v>
      </c>
      <c r="AJ2" s="84" t="s">
        <v>21</v>
      </c>
      <c r="AK2" s="131">
        <v>1</v>
      </c>
      <c r="AL2" s="131">
        <v>2</v>
      </c>
      <c r="AM2" s="131">
        <v>3</v>
      </c>
      <c r="AN2" s="131">
        <v>4</v>
      </c>
      <c r="AO2" s="135">
        <v>5</v>
      </c>
      <c r="AP2" s="135">
        <v>6</v>
      </c>
      <c r="AQ2" s="135">
        <v>7</v>
      </c>
      <c r="AR2" s="135">
        <v>8</v>
      </c>
      <c r="AS2" s="135">
        <v>9</v>
      </c>
      <c r="AT2" s="135">
        <v>10</v>
      </c>
    </row>
    <row r="3" spans="1:46" s="86" customFormat="1" ht="11.25" customHeight="1" x14ac:dyDescent="0.25">
      <c r="A3" s="92">
        <f>IF(V3="OK",IF(ISNUMBER(A2),A2+1,1),IF(ISNUMBER(A2),A2,0))</f>
        <v>1</v>
      </c>
      <c r="B3" s="93" t="s">
        <v>8</v>
      </c>
      <c r="C3" s="125" t="str">
        <f t="shared" ref="C3:C8" si="0">VLOOKUP(B3,Teilnehmer,3,FALSE)</f>
        <v>Baath, Ole</v>
      </c>
      <c r="D3" s="92" t="str">
        <f t="shared" ref="D3:D23" si="1">VLOOKUP(B3,Teilnehmer,4,FALSE)</f>
        <v>OB</v>
      </c>
      <c r="E3" s="93" t="s">
        <v>95</v>
      </c>
      <c r="F3" s="94">
        <v>3</v>
      </c>
      <c r="G3" s="92" t="str">
        <f>E3&amp;F3</f>
        <v>TH3</v>
      </c>
      <c r="H3" s="92" t="str">
        <f>E3&amp;F3&amp;D3</f>
        <v>TH3OB</v>
      </c>
      <c r="I3" s="95">
        <f t="shared" ref="I3:I28" si="2">IF(LEN(G3)&gt;0,VLOOKUP(E3&amp;F3,CourseData,6,FALSE),"")</f>
        <v>3.4249999999999998</v>
      </c>
      <c r="J3" s="92">
        <v>1</v>
      </c>
      <c r="K3" s="96">
        <f t="shared" ref="K3:K28" si="3">IF(LEN(G3)&gt;0,VLOOKUP(J3,ErmP,2+CODE(B3)-64,FALSE),0)</f>
        <v>1</v>
      </c>
      <c r="L3" s="96">
        <f t="shared" ref="L3:L28" si="4">IF(LEN(G3)&gt;0,VLOOKUP(E3,SchwierigkeitP,2+CODE(B3)-64,FALSE),0)</f>
        <v>1</v>
      </c>
      <c r="M3" s="96">
        <f>IF(LEN(G3)&gt;0,VLOOKUP(O3-Parameters!$C$33,Zeit,2),0)</f>
        <v>1</v>
      </c>
      <c r="N3" s="76">
        <f t="shared" ref="N3:N28" si="5">K3*L3*M3</f>
        <v>1</v>
      </c>
      <c r="O3" s="97">
        <v>1.375</v>
      </c>
      <c r="P3" s="98">
        <f>VLOOKUP(H3,TimeBasis!A:B,2,FALSE)*N3</f>
        <v>1.8433159722222224E-2</v>
      </c>
      <c r="Q3" s="127" t="str">
        <f t="shared" ref="Q3:Q28" si="6">IF((O3+P3)&gt;Endzeit,"x","")</f>
        <v/>
      </c>
      <c r="R3" s="99">
        <f>VLOOKUP(D3,Basis,2,FALSE)*N3</f>
        <v>5.3819444444444453E-3</v>
      </c>
      <c r="S3" s="99">
        <v>0</v>
      </c>
      <c r="T3" s="100">
        <f>Startzeit</f>
        <v>1.375</v>
      </c>
      <c r="U3" s="101">
        <v>1.4085648148148151E-2</v>
      </c>
      <c r="V3" s="101" t="s">
        <v>83</v>
      </c>
      <c r="W3" s="130">
        <f>IF(AND(U3&gt;0,V3="OK"),IF(ISNUMBER(W2),W2+1,1),W2)</f>
        <v>1</v>
      </c>
      <c r="X3" s="98" t="str">
        <f t="shared" ref="X3:X28" si="7">IF(U3&gt;0,IF(U3&lt;P3,"-","+")&amp;TEXT(ABS(U3-P3),"[m]:ss"),"")</f>
        <v>-6:16</v>
      </c>
      <c r="Y3" s="98" t="str">
        <f>IF(U3&gt;0,IF((T3+U3)&lt;(O3+P3),"-","+")&amp;TEXT(ABS((T3+U3)-(O3+P3)),"[m]:ss"),"")</f>
        <v>-6:16</v>
      </c>
      <c r="Z3" s="102">
        <f t="shared" ref="Z3:Z28" si="8">IF(E3&amp;F3&gt;0,VLOOKUP(G3,CourseData,2,FALSE),"")</f>
        <v>2.2999999999999998</v>
      </c>
      <c r="AA3" s="103">
        <f t="shared" ref="AA3:AA28" si="9">IF(E3&amp;F3&gt;0,VLOOKUP(E3&amp;F3,CourseData,4,FALSE),"")</f>
        <v>125</v>
      </c>
      <c r="AB3" s="102">
        <f>IF(E3&gt;0,Z3+AA3*Climbfaktor/1000,VLOOKUP($E3,CoursesBasis!B$3:K$28,9,FALSE))</f>
        <v>3.4249999999999998</v>
      </c>
      <c r="AC3" s="104">
        <f>IF(AND(U3&gt;0,AB3&gt;0),U3/AB3,"")</f>
        <v>4.1125979994593147E-3</v>
      </c>
      <c r="AD3" s="104">
        <f t="shared" ref="AD3:AD28" si="10">IF(ISNUMBER(AC3),AC3/N3,"")</f>
        <v>4.1125979994593147E-3</v>
      </c>
      <c r="AE3" s="104" t="str">
        <f t="shared" ref="AE3:AE28" si="11">IF(AND(ISNUMBER(AD3),ISNUMBER(R3)),IF(AD3-R3&gt;0,CONCATENATE(TEXT(ABS(AD3-R3),"[M]:SS")," +"),CONCATENATE(TEXT(ABS(AD3-R3),"[M]:SS")," -")),"")</f>
        <v>1:50 -</v>
      </c>
      <c r="AF3" s="91"/>
      <c r="AG3" s="87" t="s">
        <v>95</v>
      </c>
      <c r="AH3" s="88">
        <f t="shared" ref="AH3" si="12">VLOOKUP(AG3,Courses,2,FALSE)</f>
        <v>6</v>
      </c>
      <c r="AI3" s="88">
        <f t="shared" ref="AI3:AI14" si="13">COUNTIF(E:E,AG3)</f>
        <v>6</v>
      </c>
      <c r="AJ3" s="89">
        <f t="shared" ref="AJ3:AJ14" si="14">AI3-VLOOKUP(AG3,Courses,2,FALSE)</f>
        <v>0</v>
      </c>
      <c r="AK3" s="88">
        <f t="shared" ref="AK3:AT14" si="15">IF($AH3&gt;=AK$2,COUNTIF($G$3:$G$28,CONCATENATE($AG3,AK$2)),"-")</f>
        <v>1</v>
      </c>
      <c r="AL3" s="88">
        <f t="shared" si="15"/>
        <v>1</v>
      </c>
      <c r="AM3" s="88">
        <f t="shared" si="15"/>
        <v>1</v>
      </c>
      <c r="AN3" s="88">
        <f t="shared" si="15"/>
        <v>1</v>
      </c>
      <c r="AO3" s="88">
        <f t="shared" si="15"/>
        <v>1</v>
      </c>
      <c r="AP3" s="88">
        <f t="shared" si="15"/>
        <v>1</v>
      </c>
      <c r="AQ3" s="88" t="str">
        <f t="shared" si="15"/>
        <v>-</v>
      </c>
      <c r="AR3" s="88" t="str">
        <f t="shared" si="15"/>
        <v>-</v>
      </c>
      <c r="AS3" s="88" t="str">
        <f t="shared" si="15"/>
        <v>-</v>
      </c>
      <c r="AT3" s="88" t="str">
        <f t="shared" si="15"/>
        <v>-</v>
      </c>
    </row>
    <row r="4" spans="1:46" s="86" customFormat="1" ht="11.25" customHeight="1" x14ac:dyDescent="0.25">
      <c r="A4" s="92">
        <f t="shared" ref="A4:A28" si="16">IF(V4="OK",IF(ISNUMBER(A3),A3+1,1),IF(ISNUMBER(A3),A3,0))</f>
        <v>2</v>
      </c>
      <c r="B4" s="93" t="s">
        <v>9</v>
      </c>
      <c r="C4" s="125" t="str">
        <f t="shared" si="0"/>
        <v>Baath, Veikko</v>
      </c>
      <c r="D4" s="92" t="str">
        <f t="shared" si="1"/>
        <v>VB</v>
      </c>
      <c r="E4" s="93" t="s">
        <v>95</v>
      </c>
      <c r="F4" s="94">
        <v>2</v>
      </c>
      <c r="G4" s="92" t="str">
        <f t="shared" ref="G4:G28" si="17">E4&amp;F4</f>
        <v>TH2</v>
      </c>
      <c r="H4" s="92" t="str">
        <f t="shared" ref="H4:H28" si="18">E4&amp;F4&amp;D4</f>
        <v>TH2VB</v>
      </c>
      <c r="I4" s="95">
        <f t="shared" si="2"/>
        <v>4.3449999999999998</v>
      </c>
      <c r="J4" s="92">
        <v>1</v>
      </c>
      <c r="K4" s="96">
        <f t="shared" si="3"/>
        <v>1</v>
      </c>
      <c r="L4" s="96">
        <f t="shared" si="4"/>
        <v>1</v>
      </c>
      <c r="M4" s="96">
        <f>IF(LEN(G4)&gt;0,VLOOKUP(O4-Parameters!$C$33,Zeit,2),0)</f>
        <v>1</v>
      </c>
      <c r="N4" s="76">
        <f t="shared" si="5"/>
        <v>1</v>
      </c>
      <c r="O4" s="97">
        <f t="shared" ref="O4:O28" si="19">IF(AND(UPPER(MID($E4,2,1))="T",O3+P3&lt;Twilight),Twilight,O3+P3)</f>
        <v>1.3934331597222223</v>
      </c>
      <c r="P4" s="98">
        <f>VLOOKUP(H4,TimeBasis!A:B,2,FALSE)*N4</f>
        <v>2.7156249999999996E-2</v>
      </c>
      <c r="Q4" s="127" t="str">
        <f t="shared" si="6"/>
        <v/>
      </c>
      <c r="R4" s="99">
        <f t="shared" ref="R4:R28" si="20">VLOOKUP(D4,Basis,2,FALSE)*N4</f>
        <v>6.2499999999999995E-3</v>
      </c>
      <c r="S4" s="99">
        <v>0</v>
      </c>
      <c r="T4" s="100">
        <f t="shared" ref="T4:T28" si="21">IF(AND(UPPER(MID($E4,2,1))="T",T3+U3&lt;Twilight),Twilight,T3+U3)</f>
        <v>1.3890856481481482</v>
      </c>
      <c r="U4" s="101">
        <v>2.210648148148148E-2</v>
      </c>
      <c r="V4" s="101" t="s">
        <v>83</v>
      </c>
      <c r="W4" s="130">
        <f t="shared" ref="W4:W28" si="22">IF(AND(U4&gt;0,V4="OK"),IF(ISNUMBER(W3),W3+1,1),W3)</f>
        <v>2</v>
      </c>
      <c r="X4" s="98" t="str">
        <f t="shared" si="7"/>
        <v>-7:16</v>
      </c>
      <c r="Y4" s="98" t="str">
        <f t="shared" ref="Y4:Y28" si="23">IF(U4&gt;0,IF((T4+U4)&lt;(O4+P4),"-","+")&amp;TEXT(ABS((T4+U4)-(O4+P4)),"[m]:ss"),"")</f>
        <v>-13:32</v>
      </c>
      <c r="Z4" s="102">
        <f t="shared" si="8"/>
        <v>3.4</v>
      </c>
      <c r="AA4" s="103">
        <f t="shared" si="9"/>
        <v>105</v>
      </c>
      <c r="AB4" s="102">
        <f>IF(E4&gt;0,Z4+AA4*Climbfaktor/1000,VLOOKUP($E4,CoursesBasis!B$3:K$28,9,FALSE))</f>
        <v>4.3449999999999998</v>
      </c>
      <c r="AC4" s="104">
        <f>IF(AND(U4&gt;0,AB4&gt;0),U4/AB4,"")</f>
        <v>5.0877978093167965E-3</v>
      </c>
      <c r="AD4" s="104">
        <f t="shared" si="10"/>
        <v>5.0877978093167965E-3</v>
      </c>
      <c r="AE4" s="104" t="str">
        <f t="shared" si="11"/>
        <v>1:40 -</v>
      </c>
      <c r="AF4" s="91"/>
      <c r="AG4" s="87" t="s">
        <v>14</v>
      </c>
      <c r="AH4" s="88">
        <v>8</v>
      </c>
      <c r="AI4" s="88">
        <f t="shared" si="13"/>
        <v>8</v>
      </c>
      <c r="AJ4" s="89">
        <f t="shared" si="14"/>
        <v>0</v>
      </c>
      <c r="AK4" s="88">
        <f t="shared" si="15"/>
        <v>1</v>
      </c>
      <c r="AL4" s="88">
        <f t="shared" si="15"/>
        <v>1</v>
      </c>
      <c r="AM4" s="88">
        <f t="shared" si="15"/>
        <v>1</v>
      </c>
      <c r="AN4" s="88">
        <f t="shared" si="15"/>
        <v>1</v>
      </c>
      <c r="AO4" s="88">
        <f t="shared" si="15"/>
        <v>1</v>
      </c>
      <c r="AP4" s="88">
        <f t="shared" si="15"/>
        <v>1</v>
      </c>
      <c r="AQ4" s="88">
        <f t="shared" si="15"/>
        <v>1</v>
      </c>
      <c r="AR4" s="88">
        <f t="shared" si="15"/>
        <v>1</v>
      </c>
      <c r="AS4" s="88" t="str">
        <f t="shared" si="15"/>
        <v>-</v>
      </c>
      <c r="AT4" s="88" t="str">
        <f t="shared" si="15"/>
        <v>-</v>
      </c>
    </row>
    <row r="5" spans="1:46" s="86" customFormat="1" ht="11.25" customHeight="1" x14ac:dyDescent="0.25">
      <c r="A5" s="92">
        <f t="shared" si="16"/>
        <v>3</v>
      </c>
      <c r="B5" s="93" t="s">
        <v>11</v>
      </c>
      <c r="C5" s="125" t="str">
        <f t="shared" si="0"/>
        <v>Hagen-Ritzentahler, Kristin</v>
      </c>
      <c r="D5" s="92" t="str">
        <f t="shared" si="1"/>
        <v>KHR</v>
      </c>
      <c r="E5" s="93" t="s">
        <v>95</v>
      </c>
      <c r="F5" s="94">
        <v>1</v>
      </c>
      <c r="G5" s="92" t="str">
        <f t="shared" si="17"/>
        <v>TH1</v>
      </c>
      <c r="H5" s="92" t="str">
        <f t="shared" si="18"/>
        <v>TH1KHR</v>
      </c>
      <c r="I5" s="95">
        <f t="shared" si="2"/>
        <v>6.25</v>
      </c>
      <c r="J5" s="92">
        <v>1</v>
      </c>
      <c r="K5" s="96">
        <f t="shared" si="3"/>
        <v>1</v>
      </c>
      <c r="L5" s="96">
        <f t="shared" si="4"/>
        <v>1</v>
      </c>
      <c r="M5" s="96">
        <f>IF(LEN(G5)&gt;0,VLOOKUP(O5-Parameters!$C$33,Zeit,2),0)</f>
        <v>1</v>
      </c>
      <c r="N5" s="76">
        <f t="shared" si="5"/>
        <v>1</v>
      </c>
      <c r="O5" s="97">
        <f t="shared" si="19"/>
        <v>1.4205894097222223</v>
      </c>
      <c r="P5" s="98">
        <f>VLOOKUP(H5,TimeBasis!A:B,2,FALSE)*N5</f>
        <v>3.2552083333333329E-2</v>
      </c>
      <c r="Q5" s="127" t="str">
        <f t="shared" si="6"/>
        <v/>
      </c>
      <c r="R5" s="99">
        <f t="shared" si="20"/>
        <v>5.208333333333333E-3</v>
      </c>
      <c r="S5" s="99">
        <v>0</v>
      </c>
      <c r="T5" s="100">
        <f t="shared" si="21"/>
        <v>1.4111921296296297</v>
      </c>
      <c r="U5" s="101">
        <v>2.9201388888888888E-2</v>
      </c>
      <c r="V5" s="101" t="s">
        <v>83</v>
      </c>
      <c r="W5" s="130">
        <f t="shared" si="22"/>
        <v>3</v>
      </c>
      <c r="X5" s="98" t="str">
        <f t="shared" si="7"/>
        <v>-4:49</v>
      </c>
      <c r="Y5" s="98" t="str">
        <f t="shared" si="23"/>
        <v>-18:21</v>
      </c>
      <c r="Z5" s="102">
        <f t="shared" si="8"/>
        <v>4.9000000000000004</v>
      </c>
      <c r="AA5" s="103">
        <f t="shared" si="9"/>
        <v>150</v>
      </c>
      <c r="AB5" s="102">
        <f>IF(E5&gt;0,Z5+AA5*Climbfaktor/1000,VLOOKUP($E5,CoursesBasis!B$3:K$28,9,FALSE))</f>
        <v>6.25</v>
      </c>
      <c r="AC5" s="104">
        <f t="shared" ref="AC5:AC28" si="24">IF(AND(U5&gt;0,AB5&gt;0),U5/AB5,"")</f>
        <v>4.6722222222222217E-3</v>
      </c>
      <c r="AD5" s="104">
        <f t="shared" si="10"/>
        <v>4.6722222222222217E-3</v>
      </c>
      <c r="AE5" s="104" t="str">
        <f t="shared" si="11"/>
        <v>0:46 -</v>
      </c>
      <c r="AF5" s="91"/>
      <c r="AG5" s="87" t="s">
        <v>13</v>
      </c>
      <c r="AH5" s="88">
        <v>10</v>
      </c>
      <c r="AI5" s="88">
        <f t="shared" si="13"/>
        <v>7</v>
      </c>
      <c r="AJ5" s="89">
        <f t="shared" si="14"/>
        <v>-3</v>
      </c>
      <c r="AK5" s="88">
        <f t="shared" si="15"/>
        <v>1</v>
      </c>
      <c r="AL5" s="88">
        <f t="shared" si="15"/>
        <v>1</v>
      </c>
      <c r="AM5" s="88">
        <f t="shared" si="15"/>
        <v>1</v>
      </c>
      <c r="AN5" s="88">
        <f t="shared" si="15"/>
        <v>1</v>
      </c>
      <c r="AO5" s="88">
        <f t="shared" si="15"/>
        <v>1</v>
      </c>
      <c r="AP5" s="88">
        <f t="shared" si="15"/>
        <v>1</v>
      </c>
      <c r="AQ5" s="88">
        <f t="shared" si="15"/>
        <v>1</v>
      </c>
      <c r="AR5" s="88">
        <f t="shared" si="15"/>
        <v>0</v>
      </c>
      <c r="AS5" s="88">
        <f t="shared" si="15"/>
        <v>0</v>
      </c>
      <c r="AT5" s="88">
        <f t="shared" si="15"/>
        <v>0</v>
      </c>
    </row>
    <row r="6" spans="1:46" s="86" customFormat="1" ht="11.25" customHeight="1" x14ac:dyDescent="0.25">
      <c r="A6" s="92">
        <f t="shared" si="16"/>
        <v>4</v>
      </c>
      <c r="B6" s="93" t="s">
        <v>13</v>
      </c>
      <c r="C6" s="125" t="str">
        <f t="shared" si="0"/>
        <v>Lorenz-Baath, Katrin</v>
      </c>
      <c r="D6" s="92" t="str">
        <f t="shared" si="1"/>
        <v>KLB</v>
      </c>
      <c r="E6" s="93" t="s">
        <v>95</v>
      </c>
      <c r="F6" s="94">
        <v>4</v>
      </c>
      <c r="G6" s="92" t="str">
        <f t="shared" si="17"/>
        <v>TH4</v>
      </c>
      <c r="H6" s="92" t="str">
        <f t="shared" si="18"/>
        <v>TH4KLB</v>
      </c>
      <c r="I6" s="95">
        <f t="shared" si="2"/>
        <v>3.395</v>
      </c>
      <c r="J6" s="92">
        <v>1</v>
      </c>
      <c r="K6" s="96">
        <f t="shared" si="3"/>
        <v>1</v>
      </c>
      <c r="L6" s="96">
        <f t="shared" si="4"/>
        <v>1</v>
      </c>
      <c r="M6" s="96">
        <f>IF(LEN(G6)&gt;0,VLOOKUP(O6-Parameters!$C$33,Zeit,2),0)</f>
        <v>1</v>
      </c>
      <c r="N6" s="76">
        <f t="shared" si="5"/>
        <v>1</v>
      </c>
      <c r="O6" s="97">
        <f t="shared" si="19"/>
        <v>1.4531414930555555</v>
      </c>
      <c r="P6" s="98">
        <f>VLOOKUP(H6,TimeBasis!A:B,2,FALSE)*N6</f>
        <v>2.0629340277777779E-2</v>
      </c>
      <c r="Q6" s="127" t="str">
        <f t="shared" si="6"/>
        <v/>
      </c>
      <c r="R6" s="99">
        <f t="shared" si="20"/>
        <v>6.076388888888889E-3</v>
      </c>
      <c r="S6" s="99">
        <v>0</v>
      </c>
      <c r="T6" s="100">
        <f t="shared" si="21"/>
        <v>1.4403935185185186</v>
      </c>
      <c r="U6" s="101">
        <v>1.5717592592592592E-2</v>
      </c>
      <c r="V6" s="101" t="s">
        <v>83</v>
      </c>
      <c r="W6" s="130">
        <f t="shared" si="22"/>
        <v>4</v>
      </c>
      <c r="X6" s="98" t="str">
        <f t="shared" si="7"/>
        <v>-7:04</v>
      </c>
      <c r="Y6" s="98" t="str">
        <f t="shared" si="23"/>
        <v>-25:26</v>
      </c>
      <c r="Z6" s="102">
        <f t="shared" si="8"/>
        <v>2.9</v>
      </c>
      <c r="AA6" s="103">
        <f t="shared" si="9"/>
        <v>55</v>
      </c>
      <c r="AB6" s="102">
        <f>IF(E6&gt;0,Z6+AA6*Climbfaktor/1000,VLOOKUP($E6,CoursesBasis!B$3:K$28,9,FALSE))</f>
        <v>3.395</v>
      </c>
      <c r="AC6" s="104">
        <f t="shared" si="24"/>
        <v>4.6296296296296294E-3</v>
      </c>
      <c r="AD6" s="104">
        <f t="shared" si="10"/>
        <v>4.6296296296296294E-3</v>
      </c>
      <c r="AE6" s="104" t="str">
        <f t="shared" si="11"/>
        <v>2:05 -</v>
      </c>
      <c r="AF6" s="91"/>
      <c r="AG6" s="87" t="s">
        <v>4</v>
      </c>
      <c r="AH6" s="88">
        <v>1</v>
      </c>
      <c r="AI6" s="88">
        <f t="shared" si="13"/>
        <v>0</v>
      </c>
      <c r="AJ6" s="89">
        <f t="shared" si="14"/>
        <v>-1</v>
      </c>
      <c r="AK6" s="88">
        <f t="shared" si="15"/>
        <v>0</v>
      </c>
      <c r="AL6" s="88" t="str">
        <f t="shared" si="15"/>
        <v>-</v>
      </c>
      <c r="AM6" s="88" t="str">
        <f t="shared" si="15"/>
        <v>-</v>
      </c>
      <c r="AN6" s="88" t="str">
        <f t="shared" si="15"/>
        <v>-</v>
      </c>
      <c r="AO6" s="88" t="str">
        <f t="shared" si="15"/>
        <v>-</v>
      </c>
      <c r="AP6" s="88" t="str">
        <f t="shared" si="15"/>
        <v>-</v>
      </c>
      <c r="AQ6" s="88" t="str">
        <f t="shared" si="15"/>
        <v>-</v>
      </c>
      <c r="AR6" s="88" t="str">
        <f t="shared" si="15"/>
        <v>-</v>
      </c>
      <c r="AS6" s="88" t="str">
        <f t="shared" si="15"/>
        <v>-</v>
      </c>
      <c r="AT6" s="88" t="str">
        <f t="shared" si="15"/>
        <v>-</v>
      </c>
    </row>
    <row r="7" spans="1:46" s="86" customFormat="1" ht="11.25" customHeight="1" x14ac:dyDescent="0.25">
      <c r="A7" s="92">
        <f t="shared" si="16"/>
        <v>5</v>
      </c>
      <c r="B7" s="93" t="s">
        <v>14</v>
      </c>
      <c r="C7" s="125" t="str">
        <f t="shared" si="0"/>
        <v>Lexen, Gert</v>
      </c>
      <c r="D7" s="92" t="str">
        <f t="shared" si="1"/>
        <v>GL</v>
      </c>
      <c r="E7" s="93" t="s">
        <v>95</v>
      </c>
      <c r="F7" s="94">
        <v>5</v>
      </c>
      <c r="G7" s="92" t="str">
        <f t="shared" si="17"/>
        <v>TH5</v>
      </c>
      <c r="H7" s="92" t="str">
        <f t="shared" si="18"/>
        <v>TH5GL</v>
      </c>
      <c r="I7" s="95">
        <f t="shared" si="2"/>
        <v>2.52</v>
      </c>
      <c r="J7" s="92">
        <v>1</v>
      </c>
      <c r="K7" s="96">
        <f t="shared" si="3"/>
        <v>1</v>
      </c>
      <c r="L7" s="96">
        <f t="shared" si="4"/>
        <v>1</v>
      </c>
      <c r="M7" s="96">
        <f>IF(LEN(G7)&gt;0,VLOOKUP(O7-Parameters!$C$33,Zeit,2),0)</f>
        <v>1</v>
      </c>
      <c r="N7" s="76">
        <f t="shared" si="5"/>
        <v>1</v>
      </c>
      <c r="O7" s="97">
        <f t="shared" si="19"/>
        <v>1.4737708333333333</v>
      </c>
      <c r="P7" s="98">
        <f>VLOOKUP(H7,TimeBasis!A:B,2,FALSE)*N7</f>
        <v>1.575E-2</v>
      </c>
      <c r="Q7" s="127" t="str">
        <f t="shared" si="6"/>
        <v/>
      </c>
      <c r="R7" s="99">
        <f t="shared" si="20"/>
        <v>6.2499999999999995E-3</v>
      </c>
      <c r="S7" s="99">
        <v>0</v>
      </c>
      <c r="T7" s="100">
        <f t="shared" si="21"/>
        <v>1.4561111111111111</v>
      </c>
      <c r="U7" s="101">
        <v>1.577546296296296E-2</v>
      </c>
      <c r="V7" s="101" t="s">
        <v>83</v>
      </c>
      <c r="W7" s="130">
        <f t="shared" si="22"/>
        <v>5</v>
      </c>
      <c r="X7" s="98" t="str">
        <f t="shared" si="7"/>
        <v>+0:02</v>
      </c>
      <c r="Y7" s="98" t="str">
        <f t="shared" si="23"/>
        <v>-25:24</v>
      </c>
      <c r="Z7" s="102">
        <f t="shared" si="8"/>
        <v>1.8</v>
      </c>
      <c r="AA7" s="103">
        <f t="shared" si="9"/>
        <v>80</v>
      </c>
      <c r="AB7" s="102">
        <f>IF(E7&gt;0,Z7+AA7*Climbfaktor/1000,VLOOKUP($E7,CoursesBasis!B$3:K$28,9,FALSE))</f>
        <v>2.52</v>
      </c>
      <c r="AC7" s="104">
        <f t="shared" si="24"/>
        <v>6.2601043503821268E-3</v>
      </c>
      <c r="AD7" s="104">
        <f t="shared" si="10"/>
        <v>6.2601043503821268E-3</v>
      </c>
      <c r="AE7" s="104" t="str">
        <f t="shared" si="11"/>
        <v>0:01 +</v>
      </c>
      <c r="AF7" s="91"/>
      <c r="AG7" s="87" t="s">
        <v>5</v>
      </c>
      <c r="AH7" s="88">
        <v>1</v>
      </c>
      <c r="AI7" s="88">
        <f t="shared" si="13"/>
        <v>0</v>
      </c>
      <c r="AJ7" s="89">
        <f t="shared" si="14"/>
        <v>-1</v>
      </c>
      <c r="AK7" s="88">
        <f t="shared" si="15"/>
        <v>0</v>
      </c>
      <c r="AL7" s="88" t="str">
        <f t="shared" si="15"/>
        <v>-</v>
      </c>
      <c r="AM7" s="88" t="str">
        <f t="shared" si="15"/>
        <v>-</v>
      </c>
      <c r="AN7" s="88" t="str">
        <f t="shared" si="15"/>
        <v>-</v>
      </c>
      <c r="AO7" s="88" t="str">
        <f t="shared" si="15"/>
        <v>-</v>
      </c>
      <c r="AP7" s="88" t="str">
        <f t="shared" si="15"/>
        <v>-</v>
      </c>
      <c r="AQ7" s="88" t="str">
        <f t="shared" si="15"/>
        <v>-</v>
      </c>
      <c r="AR7" s="88" t="str">
        <f t="shared" si="15"/>
        <v>-</v>
      </c>
      <c r="AS7" s="88" t="str">
        <f t="shared" si="15"/>
        <v>-</v>
      </c>
      <c r="AT7" s="88" t="str">
        <f t="shared" si="15"/>
        <v>-</v>
      </c>
    </row>
    <row r="8" spans="1:46" s="86" customFormat="1" ht="11.25" customHeight="1" x14ac:dyDescent="0.25">
      <c r="A8" s="92">
        <f t="shared" si="16"/>
        <v>6</v>
      </c>
      <c r="B8" s="93" t="s">
        <v>8</v>
      </c>
      <c r="C8" s="125" t="str">
        <f t="shared" si="0"/>
        <v>Baath, Ole</v>
      </c>
      <c r="D8" s="92" t="str">
        <f t="shared" si="1"/>
        <v>OB</v>
      </c>
      <c r="E8" s="93" t="s">
        <v>95</v>
      </c>
      <c r="F8" s="94">
        <v>6</v>
      </c>
      <c r="G8" s="92" t="str">
        <f t="shared" si="17"/>
        <v>TH6</v>
      </c>
      <c r="H8" s="92" t="str">
        <f t="shared" si="18"/>
        <v>TH6OB</v>
      </c>
      <c r="I8" s="95">
        <f t="shared" si="2"/>
        <v>2.895</v>
      </c>
      <c r="J8" s="92">
        <v>2</v>
      </c>
      <c r="K8" s="96">
        <f t="shared" si="3"/>
        <v>1.0288299999999999</v>
      </c>
      <c r="L8" s="96">
        <f t="shared" si="4"/>
        <v>1</v>
      </c>
      <c r="M8" s="96">
        <f>IF(LEN(G8)&gt;0,VLOOKUP(O8-Parameters!$C$33,Zeit,2),0)</f>
        <v>1</v>
      </c>
      <c r="N8" s="76">
        <f t="shared" si="5"/>
        <v>1.0288299999999999</v>
      </c>
      <c r="O8" s="97">
        <f t="shared" si="19"/>
        <v>1.4895208333333332</v>
      </c>
      <c r="P8" s="98">
        <f>VLOOKUP(H8,TimeBasis!A:B,2,FALSE)*N8</f>
        <v>1.6029921588541669E-2</v>
      </c>
      <c r="Q8" s="127" t="str">
        <f t="shared" si="6"/>
        <v/>
      </c>
      <c r="R8" s="99">
        <f t="shared" si="20"/>
        <v>5.5371059027777784E-3</v>
      </c>
      <c r="S8" s="99">
        <v>0</v>
      </c>
      <c r="T8" s="100">
        <f t="shared" si="21"/>
        <v>1.4718865740740741</v>
      </c>
      <c r="U8" s="101">
        <v>1.3877314814814815E-2</v>
      </c>
      <c r="V8" s="101" t="s">
        <v>83</v>
      </c>
      <c r="W8" s="130">
        <f t="shared" si="22"/>
        <v>6</v>
      </c>
      <c r="X8" s="98" t="str">
        <f t="shared" si="7"/>
        <v>-3:06</v>
      </c>
      <c r="Y8" s="98" t="str">
        <f t="shared" si="23"/>
        <v>-28:30</v>
      </c>
      <c r="Z8" s="102">
        <f t="shared" si="8"/>
        <v>2.4</v>
      </c>
      <c r="AA8" s="103">
        <f t="shared" si="9"/>
        <v>55</v>
      </c>
      <c r="AB8" s="102">
        <f>IF(E8&gt;0,Z8+AA8*Climbfaktor/1000,VLOOKUP($E8,CoursesBasis!B$3:K$28,9,FALSE))</f>
        <v>2.895</v>
      </c>
      <c r="AC8" s="104">
        <f t="shared" si="24"/>
        <v>4.793545704599245E-3</v>
      </c>
      <c r="AD8" s="104">
        <f t="shared" si="10"/>
        <v>4.6592203810145944E-3</v>
      </c>
      <c r="AE8" s="104" t="str">
        <f t="shared" si="11"/>
        <v>1:16 -</v>
      </c>
      <c r="AF8" s="91"/>
      <c r="AG8" s="87"/>
      <c r="AH8" s="88"/>
      <c r="AI8" s="88">
        <f t="shared" si="13"/>
        <v>0</v>
      </c>
      <c r="AJ8" s="89" t="e">
        <f t="shared" si="14"/>
        <v>#N/A</v>
      </c>
      <c r="AK8" s="88" t="str">
        <f t="shared" si="15"/>
        <v>-</v>
      </c>
      <c r="AL8" s="88" t="str">
        <f t="shared" si="15"/>
        <v>-</v>
      </c>
      <c r="AM8" s="88" t="str">
        <f t="shared" si="15"/>
        <v>-</v>
      </c>
      <c r="AN8" s="88" t="str">
        <f t="shared" si="15"/>
        <v>-</v>
      </c>
      <c r="AO8" s="88" t="str">
        <f t="shared" si="15"/>
        <v>-</v>
      </c>
      <c r="AP8" s="88" t="str">
        <f t="shared" si="15"/>
        <v>-</v>
      </c>
      <c r="AQ8" s="88" t="str">
        <f t="shared" si="15"/>
        <v>-</v>
      </c>
      <c r="AR8" s="88" t="str">
        <f t="shared" si="15"/>
        <v>-</v>
      </c>
      <c r="AS8" s="88" t="str">
        <f t="shared" si="15"/>
        <v>-</v>
      </c>
      <c r="AT8" s="88" t="str">
        <f t="shared" si="15"/>
        <v>-</v>
      </c>
    </row>
    <row r="9" spans="1:46" s="86" customFormat="1" ht="11.25" customHeight="1" x14ac:dyDescent="0.25">
      <c r="A9" s="92">
        <f t="shared" si="16"/>
        <v>7</v>
      </c>
      <c r="B9" s="93" t="s">
        <v>9</v>
      </c>
      <c r="C9" s="125" t="str">
        <f t="shared" ref="C9:C23" si="25">VLOOKUP(B9,Teilnehmer,3,FALSE)&amp;IF($O9+$P9&gt;Endzeit,tooLate,"")</f>
        <v>Baath, Veikko</v>
      </c>
      <c r="D9" s="92" t="str">
        <f t="shared" si="1"/>
        <v>VB</v>
      </c>
      <c r="E9" s="93" t="s">
        <v>14</v>
      </c>
      <c r="F9" s="94">
        <v>3</v>
      </c>
      <c r="G9" s="92" t="str">
        <f t="shared" si="17"/>
        <v>E3</v>
      </c>
      <c r="H9" s="92" t="str">
        <f t="shared" si="18"/>
        <v>E3VB</v>
      </c>
      <c r="I9" s="95">
        <f t="shared" si="2"/>
        <v>3.9299999999999997</v>
      </c>
      <c r="J9" s="92">
        <v>2</v>
      </c>
      <c r="K9" s="96">
        <f t="shared" si="3"/>
        <v>1.0319635416666666</v>
      </c>
      <c r="L9" s="96">
        <f t="shared" si="4"/>
        <v>1</v>
      </c>
      <c r="M9" s="96">
        <f>IF(LEN(G9)&gt;0,VLOOKUP(O9-Parameters!$C$33,Zeit,2),0)</f>
        <v>1</v>
      </c>
      <c r="N9" s="76">
        <f t="shared" si="5"/>
        <v>1.0319635416666666</v>
      </c>
      <c r="O9" s="97">
        <f t="shared" si="19"/>
        <v>1.505550754921875</v>
      </c>
      <c r="P9" s="98">
        <f>VLOOKUP(H9,TimeBasis!A:B,2,FALSE)*N9</f>
        <v>2.2812844042968745E-2</v>
      </c>
      <c r="Q9" s="127" t="str">
        <f t="shared" si="6"/>
        <v/>
      </c>
      <c r="R9" s="99">
        <f t="shared" si="20"/>
        <v>6.449772135416666E-3</v>
      </c>
      <c r="S9" s="99">
        <v>0</v>
      </c>
      <c r="T9" s="100">
        <f t="shared" si="21"/>
        <v>1.4857638888888889</v>
      </c>
      <c r="U9" s="101">
        <v>1.9351851851851853E-2</v>
      </c>
      <c r="V9" s="101" t="s">
        <v>83</v>
      </c>
      <c r="W9" s="130">
        <f t="shared" si="22"/>
        <v>7</v>
      </c>
      <c r="X9" s="98" t="str">
        <f t="shared" si="7"/>
        <v>-4:59</v>
      </c>
      <c r="Y9" s="98" t="str">
        <f t="shared" si="23"/>
        <v>-33:29</v>
      </c>
      <c r="Z9" s="102">
        <f t="shared" si="8"/>
        <v>3.3</v>
      </c>
      <c r="AA9" s="103">
        <f t="shared" si="9"/>
        <v>70</v>
      </c>
      <c r="AB9" s="102">
        <f>IF(E9&gt;0,Z9+AA9*Climbfaktor/1000,VLOOKUP($E9,CoursesBasis!B$3:K$28,9,FALSE))</f>
        <v>3.9299999999999997</v>
      </c>
      <c r="AC9" s="104">
        <f t="shared" si="24"/>
        <v>4.9241353312600138E-3</v>
      </c>
      <c r="AD9" s="104">
        <f t="shared" si="10"/>
        <v>4.7716175353514122E-3</v>
      </c>
      <c r="AE9" s="104" t="str">
        <f t="shared" si="11"/>
        <v>2:25 -</v>
      </c>
      <c r="AF9" s="91"/>
      <c r="AG9" s="87"/>
      <c r="AH9" s="88"/>
      <c r="AI9" s="88">
        <f t="shared" si="13"/>
        <v>0</v>
      </c>
      <c r="AJ9" s="89" t="e">
        <f t="shared" si="14"/>
        <v>#N/A</v>
      </c>
      <c r="AK9" s="88" t="str">
        <f t="shared" si="15"/>
        <v>-</v>
      </c>
      <c r="AL9" s="88" t="str">
        <f t="shared" si="15"/>
        <v>-</v>
      </c>
      <c r="AM9" s="88" t="str">
        <f t="shared" si="15"/>
        <v>-</v>
      </c>
      <c r="AN9" s="88" t="str">
        <f t="shared" si="15"/>
        <v>-</v>
      </c>
      <c r="AO9" s="88" t="str">
        <f t="shared" si="15"/>
        <v>-</v>
      </c>
      <c r="AP9" s="88" t="str">
        <f t="shared" si="15"/>
        <v>-</v>
      </c>
      <c r="AQ9" s="88" t="str">
        <f t="shared" si="15"/>
        <v>-</v>
      </c>
      <c r="AR9" s="88" t="str">
        <f t="shared" si="15"/>
        <v>-</v>
      </c>
      <c r="AS9" s="88" t="str">
        <f t="shared" si="15"/>
        <v>-</v>
      </c>
      <c r="AT9" s="88" t="str">
        <f t="shared" si="15"/>
        <v>-</v>
      </c>
    </row>
    <row r="10" spans="1:46" s="86" customFormat="1" ht="11.25" customHeight="1" x14ac:dyDescent="0.25">
      <c r="A10" s="92">
        <f t="shared" si="16"/>
        <v>8</v>
      </c>
      <c r="B10" s="93" t="s">
        <v>11</v>
      </c>
      <c r="C10" s="125" t="str">
        <f t="shared" si="25"/>
        <v>Hagen-Ritzentahler, Kristin</v>
      </c>
      <c r="D10" s="92" t="str">
        <f t="shared" si="1"/>
        <v>KHR</v>
      </c>
      <c r="E10" s="93" t="s">
        <v>14</v>
      </c>
      <c r="F10" s="94">
        <v>7</v>
      </c>
      <c r="G10" s="92" t="str">
        <f t="shared" si="17"/>
        <v>E7</v>
      </c>
      <c r="H10" s="92" t="str">
        <f t="shared" si="18"/>
        <v>E7KHR</v>
      </c>
      <c r="I10" s="95">
        <f t="shared" si="2"/>
        <v>7.2450000000000001</v>
      </c>
      <c r="J10" s="92">
        <v>2</v>
      </c>
      <c r="K10" s="96">
        <f t="shared" si="3"/>
        <v>1.0299111249999999</v>
      </c>
      <c r="L10" s="96">
        <f t="shared" si="4"/>
        <v>1</v>
      </c>
      <c r="M10" s="96">
        <f>IF(LEN(G10)&gt;0,VLOOKUP(O10-Parameters!$C$33,Zeit,2),0)</f>
        <v>1</v>
      </c>
      <c r="N10" s="76">
        <f t="shared" si="5"/>
        <v>1.0299111249999999</v>
      </c>
      <c r="O10" s="97">
        <f t="shared" si="19"/>
        <v>1.5283635989648436</v>
      </c>
      <c r="P10" s="98">
        <f>VLOOKUP(H10,TimeBasis!A:B,2,FALSE)*N10</f>
        <v>3.497674734667968E-2</v>
      </c>
      <c r="Q10" s="127" t="str">
        <f t="shared" si="6"/>
        <v/>
      </c>
      <c r="R10" s="99">
        <f t="shared" si="20"/>
        <v>5.3641204427083327E-3</v>
      </c>
      <c r="S10" s="99">
        <v>0</v>
      </c>
      <c r="T10" s="100">
        <f t="shared" si="21"/>
        <v>1.5051157407407407</v>
      </c>
      <c r="U10" s="101">
        <v>3.4444444444444444E-2</v>
      </c>
      <c r="V10" s="101" t="s">
        <v>83</v>
      </c>
      <c r="W10" s="130">
        <f t="shared" si="22"/>
        <v>8</v>
      </c>
      <c r="X10" s="98" t="str">
        <f t="shared" si="7"/>
        <v>-0:46</v>
      </c>
      <c r="Y10" s="98" t="str">
        <f t="shared" si="23"/>
        <v>-34:15</v>
      </c>
      <c r="Z10" s="102">
        <f t="shared" si="8"/>
        <v>5.4</v>
      </c>
      <c r="AA10" s="103">
        <f t="shared" si="9"/>
        <v>205</v>
      </c>
      <c r="AB10" s="102">
        <f>IF(E10&gt;0,Z10+AA10*Climbfaktor/1000,VLOOKUP($E10,CoursesBasis!B$3:K$28,9,FALSE))</f>
        <v>7.2450000000000001</v>
      </c>
      <c r="AC10" s="104">
        <f t="shared" si="24"/>
        <v>4.7542366382946092E-3</v>
      </c>
      <c r="AD10" s="104">
        <f t="shared" si="10"/>
        <v>4.6161620385395969E-3</v>
      </c>
      <c r="AE10" s="104" t="str">
        <f t="shared" si="11"/>
        <v>1:05 -</v>
      </c>
      <c r="AF10" s="91"/>
      <c r="AG10" s="87"/>
      <c r="AH10" s="88"/>
      <c r="AI10" s="88">
        <f t="shared" si="13"/>
        <v>0</v>
      </c>
      <c r="AJ10" s="89" t="e">
        <f t="shared" si="14"/>
        <v>#N/A</v>
      </c>
      <c r="AK10" s="88" t="str">
        <f t="shared" si="15"/>
        <v>-</v>
      </c>
      <c r="AL10" s="88" t="str">
        <f t="shared" si="15"/>
        <v>-</v>
      </c>
      <c r="AM10" s="88" t="str">
        <f t="shared" si="15"/>
        <v>-</v>
      </c>
      <c r="AN10" s="88" t="str">
        <f t="shared" si="15"/>
        <v>-</v>
      </c>
      <c r="AO10" s="88" t="str">
        <f t="shared" si="15"/>
        <v>-</v>
      </c>
      <c r="AP10" s="88" t="str">
        <f t="shared" si="15"/>
        <v>-</v>
      </c>
      <c r="AQ10" s="88" t="str">
        <f t="shared" si="15"/>
        <v>-</v>
      </c>
      <c r="AR10" s="88" t="str">
        <f t="shared" si="15"/>
        <v>-</v>
      </c>
      <c r="AS10" s="88" t="str">
        <f t="shared" si="15"/>
        <v>-</v>
      </c>
      <c r="AT10" s="88" t="str">
        <f t="shared" si="15"/>
        <v>-</v>
      </c>
    </row>
    <row r="11" spans="1:46" s="86" customFormat="1" ht="11.25" customHeight="1" x14ac:dyDescent="0.25">
      <c r="A11" s="92">
        <f t="shared" si="16"/>
        <v>9</v>
      </c>
      <c r="B11" s="93" t="s">
        <v>13</v>
      </c>
      <c r="C11" s="125" t="str">
        <f t="shared" si="25"/>
        <v>Lorenz-Baath, Katrin</v>
      </c>
      <c r="D11" s="92" t="str">
        <f t="shared" si="1"/>
        <v>KLB</v>
      </c>
      <c r="E11" s="93" t="s">
        <v>14</v>
      </c>
      <c r="F11" s="94">
        <v>4</v>
      </c>
      <c r="G11" s="92" t="str">
        <f t="shared" si="17"/>
        <v>E4</v>
      </c>
      <c r="H11" s="92" t="str">
        <f t="shared" si="18"/>
        <v>E4KLB</v>
      </c>
      <c r="I11" s="95">
        <f t="shared" si="2"/>
        <v>4.87</v>
      </c>
      <c r="J11" s="92">
        <v>2</v>
      </c>
      <c r="K11" s="96">
        <f t="shared" si="3"/>
        <v>1.0319635416666666</v>
      </c>
      <c r="L11" s="96">
        <f t="shared" si="4"/>
        <v>1</v>
      </c>
      <c r="M11" s="96">
        <f>IF(LEN(G11)&gt;0,VLOOKUP(O11-Parameters!$C$33,Zeit,2),0)</f>
        <v>1</v>
      </c>
      <c r="N11" s="76">
        <f t="shared" si="5"/>
        <v>1.0319635416666666</v>
      </c>
      <c r="O11" s="97">
        <f t="shared" si="19"/>
        <v>1.5633403463115234</v>
      </c>
      <c r="P11" s="98">
        <f>VLOOKUP(H11,TimeBasis!A:B,2,FALSE)*N11</f>
        <v>2.748409151204427E-2</v>
      </c>
      <c r="Q11" s="127" t="str">
        <f t="shared" si="6"/>
        <v/>
      </c>
      <c r="R11" s="99">
        <f t="shared" si="20"/>
        <v>6.2706117983217591E-3</v>
      </c>
      <c r="S11" s="99">
        <v>0</v>
      </c>
      <c r="T11" s="100">
        <f t="shared" si="21"/>
        <v>1.5395601851851852</v>
      </c>
      <c r="U11" s="101">
        <v>2.5405092592592594E-2</v>
      </c>
      <c r="V11" s="101" t="s">
        <v>83</v>
      </c>
      <c r="W11" s="130">
        <f t="shared" si="22"/>
        <v>9</v>
      </c>
      <c r="X11" s="98" t="str">
        <f t="shared" si="7"/>
        <v>-3:00</v>
      </c>
      <c r="Y11" s="98" t="str">
        <f t="shared" si="23"/>
        <v>-37:14</v>
      </c>
      <c r="Z11" s="102">
        <f t="shared" si="8"/>
        <v>3.7</v>
      </c>
      <c r="AA11" s="103">
        <f t="shared" si="9"/>
        <v>130</v>
      </c>
      <c r="AB11" s="102">
        <f>IF(E11&gt;0,Z11+AA11*Climbfaktor/1000,VLOOKUP($E11,CoursesBasis!B$3:K$28,9,FALSE))</f>
        <v>4.87</v>
      </c>
      <c r="AC11" s="104">
        <f t="shared" si="24"/>
        <v>5.2166514563845162E-3</v>
      </c>
      <c r="AD11" s="104">
        <f t="shared" si="10"/>
        <v>5.0550734069145448E-3</v>
      </c>
      <c r="AE11" s="104" t="str">
        <f t="shared" si="11"/>
        <v>1:45 -</v>
      </c>
      <c r="AF11" s="91"/>
      <c r="AG11" s="87"/>
      <c r="AH11" s="88"/>
      <c r="AI11" s="88">
        <f t="shared" si="13"/>
        <v>0</v>
      </c>
      <c r="AJ11" s="89" t="e">
        <f t="shared" si="14"/>
        <v>#N/A</v>
      </c>
      <c r="AK11" s="88" t="str">
        <f t="shared" si="15"/>
        <v>-</v>
      </c>
      <c r="AL11" s="88" t="str">
        <f t="shared" si="15"/>
        <v>-</v>
      </c>
      <c r="AM11" s="88" t="str">
        <f t="shared" si="15"/>
        <v>-</v>
      </c>
      <c r="AN11" s="88" t="str">
        <f t="shared" si="15"/>
        <v>-</v>
      </c>
      <c r="AO11" s="88" t="str">
        <f t="shared" si="15"/>
        <v>-</v>
      </c>
      <c r="AP11" s="88" t="str">
        <f t="shared" si="15"/>
        <v>-</v>
      </c>
      <c r="AQ11" s="88" t="str">
        <f t="shared" si="15"/>
        <v>-</v>
      </c>
      <c r="AR11" s="88" t="str">
        <f t="shared" si="15"/>
        <v>-</v>
      </c>
      <c r="AS11" s="88" t="str">
        <f t="shared" si="15"/>
        <v>-</v>
      </c>
      <c r="AT11" s="88" t="str">
        <f t="shared" si="15"/>
        <v>-</v>
      </c>
    </row>
    <row r="12" spans="1:46" s="86" customFormat="1" ht="11.25" customHeight="1" x14ac:dyDescent="0.25">
      <c r="A12" s="92">
        <f t="shared" si="16"/>
        <v>10</v>
      </c>
      <c r="B12" s="93" t="s">
        <v>14</v>
      </c>
      <c r="C12" s="125" t="str">
        <f t="shared" si="25"/>
        <v>Lexen, Gert</v>
      </c>
      <c r="D12" s="92" t="str">
        <f t="shared" si="1"/>
        <v>GL</v>
      </c>
      <c r="E12" s="93" t="s">
        <v>14</v>
      </c>
      <c r="F12" s="94">
        <v>2</v>
      </c>
      <c r="G12" s="92" t="str">
        <f t="shared" si="17"/>
        <v>E2</v>
      </c>
      <c r="H12" s="92" t="str">
        <f t="shared" si="18"/>
        <v>E2GL</v>
      </c>
      <c r="I12" s="95">
        <f t="shared" si="2"/>
        <v>3.81</v>
      </c>
      <c r="J12" s="92">
        <v>2</v>
      </c>
      <c r="K12" s="96">
        <f t="shared" si="3"/>
        <v>1.0352837500000001</v>
      </c>
      <c r="L12" s="96">
        <f t="shared" si="4"/>
        <v>1</v>
      </c>
      <c r="M12" s="96">
        <f>IF(LEN(G12)&gt;0,VLOOKUP(O12-Parameters!$C$33,Zeit,2),0)</f>
        <v>1</v>
      </c>
      <c r="N12" s="76">
        <f t="shared" si="5"/>
        <v>1.0352837500000001</v>
      </c>
      <c r="O12" s="97">
        <f t="shared" si="19"/>
        <v>1.5908244378235676</v>
      </c>
      <c r="P12" s="98">
        <f>VLOOKUP(H12,TimeBasis!A:B,2,FALSE)*N12</f>
        <v>2.21874248671875E-2</v>
      </c>
      <c r="Q12" s="127" t="str">
        <f t="shared" si="6"/>
        <v/>
      </c>
      <c r="R12" s="99">
        <f t="shared" si="20"/>
        <v>6.4705234374999995E-3</v>
      </c>
      <c r="S12" s="99">
        <v>0</v>
      </c>
      <c r="T12" s="100">
        <f t="shared" si="21"/>
        <v>1.5649652777777778</v>
      </c>
      <c r="U12" s="101">
        <v>1.8958333333333334E-2</v>
      </c>
      <c r="V12" s="101" t="s">
        <v>83</v>
      </c>
      <c r="W12" s="130">
        <f t="shared" si="22"/>
        <v>10</v>
      </c>
      <c r="X12" s="98" t="str">
        <f t="shared" si="7"/>
        <v>-4:39</v>
      </c>
      <c r="Y12" s="98" t="str">
        <f t="shared" si="23"/>
        <v>-41:53</v>
      </c>
      <c r="Z12" s="102">
        <f t="shared" si="8"/>
        <v>3</v>
      </c>
      <c r="AA12" s="103">
        <f t="shared" si="9"/>
        <v>90</v>
      </c>
      <c r="AB12" s="102">
        <f>IF(E12&gt;0,Z12+AA12*Climbfaktor/1000,VLOOKUP($E12,CoursesBasis!B$3:K$28,9,FALSE))</f>
        <v>3.81</v>
      </c>
      <c r="AC12" s="104">
        <f t="shared" si="24"/>
        <v>4.9759405074365709E-3</v>
      </c>
      <c r="AD12" s="104">
        <f t="shared" si="10"/>
        <v>4.8063543037708944E-3</v>
      </c>
      <c r="AE12" s="104" t="str">
        <f t="shared" si="11"/>
        <v>2:24 -</v>
      </c>
      <c r="AF12" s="91"/>
      <c r="AG12" s="87"/>
      <c r="AH12" s="88"/>
      <c r="AI12" s="88">
        <f t="shared" si="13"/>
        <v>0</v>
      </c>
      <c r="AJ12" s="89" t="e">
        <f t="shared" si="14"/>
        <v>#N/A</v>
      </c>
      <c r="AK12" s="88" t="str">
        <f t="shared" si="15"/>
        <v>-</v>
      </c>
      <c r="AL12" s="88" t="str">
        <f t="shared" si="15"/>
        <v>-</v>
      </c>
      <c r="AM12" s="88" t="str">
        <f t="shared" si="15"/>
        <v>-</v>
      </c>
      <c r="AN12" s="88" t="str">
        <f t="shared" si="15"/>
        <v>-</v>
      </c>
      <c r="AO12" s="88" t="str">
        <f t="shared" si="15"/>
        <v>-</v>
      </c>
      <c r="AP12" s="88" t="str">
        <f t="shared" si="15"/>
        <v>-</v>
      </c>
      <c r="AQ12" s="88" t="str">
        <f t="shared" si="15"/>
        <v>-</v>
      </c>
      <c r="AR12" s="88" t="str">
        <f t="shared" si="15"/>
        <v>-</v>
      </c>
      <c r="AS12" s="88" t="str">
        <f t="shared" si="15"/>
        <v>-</v>
      </c>
      <c r="AT12" s="88" t="str">
        <f t="shared" si="15"/>
        <v>-</v>
      </c>
    </row>
    <row r="13" spans="1:46" s="86" customFormat="1" ht="11.25" customHeight="1" x14ac:dyDescent="0.25">
      <c r="A13" s="92">
        <f t="shared" si="16"/>
        <v>11</v>
      </c>
      <c r="B13" s="93" t="s">
        <v>8</v>
      </c>
      <c r="C13" s="125" t="str">
        <f t="shared" si="25"/>
        <v>Baath, Ole</v>
      </c>
      <c r="D13" s="92" t="str">
        <f t="shared" si="1"/>
        <v>OB</v>
      </c>
      <c r="E13" s="93" t="s">
        <v>14</v>
      </c>
      <c r="F13" s="94">
        <v>6</v>
      </c>
      <c r="G13" s="92" t="str">
        <f t="shared" si="17"/>
        <v>E6</v>
      </c>
      <c r="H13" s="92" t="str">
        <f t="shared" si="18"/>
        <v>E6OB</v>
      </c>
      <c r="I13" s="95">
        <f t="shared" si="2"/>
        <v>6.27</v>
      </c>
      <c r="J13" s="92">
        <v>3</v>
      </c>
      <c r="K13" s="96">
        <f t="shared" si="3"/>
        <v>1.0536238</v>
      </c>
      <c r="L13" s="96">
        <f t="shared" si="4"/>
        <v>1</v>
      </c>
      <c r="M13" s="96">
        <f>IF(LEN(G13)&gt;0,VLOOKUP(O13-Parameters!$C$33,Zeit,2),0)</f>
        <v>1</v>
      </c>
      <c r="N13" s="76">
        <f t="shared" si="5"/>
        <v>1.0536238</v>
      </c>
      <c r="O13" s="97">
        <f t="shared" si="19"/>
        <v>1.613011862690755</v>
      </c>
      <c r="P13" s="98">
        <f>VLOOKUP(H13,TimeBasis!A:B,2,FALSE)*N13</f>
        <v>3.1998884063437504E-2</v>
      </c>
      <c r="Q13" s="127" t="str">
        <f t="shared" si="6"/>
        <v/>
      </c>
      <c r="R13" s="99">
        <f t="shared" si="20"/>
        <v>5.6705447569444451E-3</v>
      </c>
      <c r="S13" s="99">
        <v>0</v>
      </c>
      <c r="T13" s="100">
        <f t="shared" si="21"/>
        <v>1.5839236111111112</v>
      </c>
      <c r="U13" s="101">
        <v>3.1631944444444442E-2</v>
      </c>
      <c r="V13" s="101" t="s">
        <v>83</v>
      </c>
      <c r="W13" s="130">
        <f t="shared" si="22"/>
        <v>11</v>
      </c>
      <c r="X13" s="98" t="str">
        <f t="shared" si="7"/>
        <v>-0:32</v>
      </c>
      <c r="Y13" s="98" t="str">
        <f t="shared" si="23"/>
        <v>-42:25</v>
      </c>
      <c r="Z13" s="102">
        <f t="shared" si="8"/>
        <v>5.0999999999999996</v>
      </c>
      <c r="AA13" s="103">
        <f t="shared" si="9"/>
        <v>130</v>
      </c>
      <c r="AB13" s="102">
        <f>IF(E13&gt;0,Z13+AA13*Climbfaktor/1000,VLOOKUP($E13,CoursesBasis!B$3:K$28,9,FALSE))</f>
        <v>6.27</v>
      </c>
      <c r="AC13" s="104">
        <f t="shared" si="24"/>
        <v>5.0449672160198479E-3</v>
      </c>
      <c r="AD13" s="104">
        <f t="shared" si="10"/>
        <v>4.7882054448844533E-3</v>
      </c>
      <c r="AE13" s="104" t="str">
        <f t="shared" si="11"/>
        <v>1:16 -</v>
      </c>
      <c r="AF13" s="91"/>
      <c r="AG13" s="87"/>
      <c r="AH13" s="88"/>
      <c r="AI13" s="88">
        <f t="shared" si="13"/>
        <v>0</v>
      </c>
      <c r="AJ13" s="89" t="e">
        <f t="shared" si="14"/>
        <v>#N/A</v>
      </c>
      <c r="AK13" s="88" t="str">
        <f t="shared" si="15"/>
        <v>-</v>
      </c>
      <c r="AL13" s="88" t="str">
        <f t="shared" si="15"/>
        <v>-</v>
      </c>
      <c r="AM13" s="88" t="str">
        <f t="shared" si="15"/>
        <v>-</v>
      </c>
      <c r="AN13" s="88" t="str">
        <f t="shared" si="15"/>
        <v>-</v>
      </c>
      <c r="AO13" s="88" t="str">
        <f t="shared" si="15"/>
        <v>-</v>
      </c>
      <c r="AP13" s="88" t="str">
        <f t="shared" si="15"/>
        <v>-</v>
      </c>
      <c r="AQ13" s="88" t="str">
        <f t="shared" si="15"/>
        <v>-</v>
      </c>
      <c r="AR13" s="88" t="str">
        <f t="shared" si="15"/>
        <v>-</v>
      </c>
      <c r="AS13" s="88" t="str">
        <f t="shared" si="15"/>
        <v>-</v>
      </c>
      <c r="AT13" s="88" t="str">
        <f t="shared" si="15"/>
        <v>-</v>
      </c>
    </row>
    <row r="14" spans="1:46" s="86" customFormat="1" ht="11.25" customHeight="1" x14ac:dyDescent="0.25">
      <c r="A14" s="92">
        <f t="shared" si="16"/>
        <v>12</v>
      </c>
      <c r="B14" s="93" t="s">
        <v>9</v>
      </c>
      <c r="C14" s="125" t="str">
        <f t="shared" si="25"/>
        <v>Baath, Veikko</v>
      </c>
      <c r="D14" s="92" t="str">
        <f t="shared" si="1"/>
        <v>VB</v>
      </c>
      <c r="E14" s="93" t="s">
        <v>13</v>
      </c>
      <c r="F14" s="94">
        <v>4</v>
      </c>
      <c r="G14" s="92" t="str">
        <f t="shared" si="17"/>
        <v>D4</v>
      </c>
      <c r="H14" s="92" t="str">
        <f t="shared" si="18"/>
        <v>D4VB</v>
      </c>
      <c r="I14" s="95">
        <f t="shared" si="2"/>
        <v>4.0449999999999999</v>
      </c>
      <c r="J14" s="92">
        <v>3</v>
      </c>
      <c r="K14" s="96">
        <f t="shared" si="3"/>
        <v>1.0607307291666668</v>
      </c>
      <c r="L14" s="96">
        <f t="shared" si="4"/>
        <v>1.05</v>
      </c>
      <c r="M14" s="96">
        <f>IF(LEN(G14)&gt;0,VLOOKUP(O14-Parameters!$C$33,Zeit,2),0)</f>
        <v>1</v>
      </c>
      <c r="N14" s="76">
        <f t="shared" si="5"/>
        <v>1.1137672656250002</v>
      </c>
      <c r="O14" s="97">
        <f t="shared" si="19"/>
        <v>1.6450107467541926</v>
      </c>
      <c r="P14" s="98">
        <f>VLOOKUP(H14,TimeBasis!A:B,2,FALSE)*N14</f>
        <v>3.0973171552490238E-2</v>
      </c>
      <c r="Q14" s="127" t="str">
        <f t="shared" si="6"/>
        <v/>
      </c>
      <c r="R14" s="99">
        <f t="shared" si="20"/>
        <v>6.9610454101562509E-3</v>
      </c>
      <c r="S14" s="99">
        <v>0</v>
      </c>
      <c r="T14" s="100">
        <f t="shared" si="21"/>
        <v>1.6155555555555556</v>
      </c>
      <c r="U14" s="101">
        <v>2.4247685185185181E-2</v>
      </c>
      <c r="V14" s="101" t="s">
        <v>83</v>
      </c>
      <c r="W14" s="130">
        <f t="shared" si="22"/>
        <v>12</v>
      </c>
      <c r="X14" s="98" t="str">
        <f t="shared" si="7"/>
        <v>-9:41</v>
      </c>
      <c r="Y14" s="98" t="str">
        <f t="shared" si="23"/>
        <v>-52:06</v>
      </c>
      <c r="Z14" s="102">
        <f t="shared" si="8"/>
        <v>3.1</v>
      </c>
      <c r="AA14" s="103">
        <f t="shared" si="9"/>
        <v>105</v>
      </c>
      <c r="AB14" s="102">
        <f>IF(E14&gt;0,Z14+AA14*Climbfaktor/1000,VLOOKUP($E14,CoursesBasis!B$3:K$28,9,FALSE))</f>
        <v>4.0449999999999999</v>
      </c>
      <c r="AC14" s="104">
        <f t="shared" si="24"/>
        <v>5.9944833585130241E-3</v>
      </c>
      <c r="AD14" s="104">
        <f t="shared" si="10"/>
        <v>5.38216873805244E-3</v>
      </c>
      <c r="AE14" s="104" t="str">
        <f t="shared" si="11"/>
        <v>2:16 -</v>
      </c>
      <c r="AF14" s="91"/>
      <c r="AG14" s="87"/>
      <c r="AH14" s="88"/>
      <c r="AI14" s="88">
        <f t="shared" si="13"/>
        <v>0</v>
      </c>
      <c r="AJ14" s="89" t="e">
        <f t="shared" si="14"/>
        <v>#N/A</v>
      </c>
      <c r="AK14" s="88" t="str">
        <f t="shared" si="15"/>
        <v>-</v>
      </c>
      <c r="AL14" s="88" t="str">
        <f t="shared" si="15"/>
        <v>-</v>
      </c>
      <c r="AM14" s="88" t="str">
        <f t="shared" si="15"/>
        <v>-</v>
      </c>
      <c r="AN14" s="88" t="str">
        <f t="shared" si="15"/>
        <v>-</v>
      </c>
      <c r="AO14" s="88" t="str">
        <f t="shared" si="15"/>
        <v>-</v>
      </c>
      <c r="AP14" s="88" t="str">
        <f t="shared" si="15"/>
        <v>-</v>
      </c>
      <c r="AQ14" s="88" t="str">
        <f t="shared" si="15"/>
        <v>-</v>
      </c>
      <c r="AR14" s="88" t="str">
        <f t="shared" si="15"/>
        <v>-</v>
      </c>
      <c r="AS14" s="88" t="str">
        <f t="shared" si="15"/>
        <v>-</v>
      </c>
      <c r="AT14" s="88" t="str">
        <f t="shared" si="15"/>
        <v>-</v>
      </c>
    </row>
    <row r="15" spans="1:46" s="86" customFormat="1" ht="11.25" customHeight="1" x14ac:dyDescent="0.25">
      <c r="A15" s="92">
        <f t="shared" si="16"/>
        <v>13</v>
      </c>
      <c r="B15" s="93" t="s">
        <v>11</v>
      </c>
      <c r="C15" s="125" t="str">
        <f t="shared" si="25"/>
        <v>Hagen-Ritzentahler, Kristin</v>
      </c>
      <c r="D15" s="92" t="str">
        <f t="shared" si="1"/>
        <v>KHR</v>
      </c>
      <c r="E15" s="93" t="s">
        <v>13</v>
      </c>
      <c r="F15" s="94">
        <v>6</v>
      </c>
      <c r="G15" s="92" t="str">
        <f t="shared" si="17"/>
        <v>D6</v>
      </c>
      <c r="H15" s="92" t="str">
        <f t="shared" si="18"/>
        <v>D6KHR</v>
      </c>
      <c r="I15" s="95">
        <f t="shared" si="2"/>
        <v>5.125</v>
      </c>
      <c r="J15" s="92">
        <v>3</v>
      </c>
      <c r="K15" s="96">
        <f t="shared" si="3"/>
        <v>1.0556346925</v>
      </c>
      <c r="L15" s="96">
        <f t="shared" si="4"/>
        <v>1.05</v>
      </c>
      <c r="M15" s="96">
        <f>IF(LEN(G15)&gt;0,VLOOKUP(O15-Parameters!$C$33,Zeit,2),0)</f>
        <v>1</v>
      </c>
      <c r="N15" s="76">
        <f t="shared" si="5"/>
        <v>1.1084164271250001</v>
      </c>
      <c r="O15" s="97">
        <f t="shared" si="19"/>
        <v>1.6759839183066827</v>
      </c>
      <c r="P15" s="98">
        <f>VLOOKUP(H15,TimeBasis!A:B,2,FALSE)*N15</f>
        <v>3.2545300041235362E-2</v>
      </c>
      <c r="Q15" s="127" t="str">
        <f t="shared" si="6"/>
        <v/>
      </c>
      <c r="R15" s="99">
        <f t="shared" si="20"/>
        <v>5.7730022246093755E-3</v>
      </c>
      <c r="S15" s="99">
        <v>0</v>
      </c>
      <c r="T15" s="100">
        <f t="shared" si="21"/>
        <v>1.6398032407407408</v>
      </c>
      <c r="U15" s="101">
        <v>2.7893518518518515E-2</v>
      </c>
      <c r="V15" s="101" t="s">
        <v>83</v>
      </c>
      <c r="W15" s="130">
        <f t="shared" si="22"/>
        <v>13</v>
      </c>
      <c r="X15" s="98" t="str">
        <f t="shared" si="7"/>
        <v>-6:42</v>
      </c>
      <c r="Y15" s="98" t="str">
        <f t="shared" si="23"/>
        <v>-58:48</v>
      </c>
      <c r="Z15" s="102">
        <f t="shared" si="8"/>
        <v>4</v>
      </c>
      <c r="AA15" s="103">
        <f t="shared" si="9"/>
        <v>125</v>
      </c>
      <c r="AB15" s="102">
        <f>IF(E15&gt;0,Z15+AA15*Climbfaktor/1000,VLOOKUP($E15,CoursesBasis!B$3:K$28,9,FALSE))</f>
        <v>5.125</v>
      </c>
      <c r="AC15" s="104">
        <f t="shared" si="24"/>
        <v>5.4426377597109298E-3</v>
      </c>
      <c r="AD15" s="104">
        <f t="shared" si="10"/>
        <v>4.9102824773429163E-3</v>
      </c>
      <c r="AE15" s="104" t="str">
        <f t="shared" si="11"/>
        <v>1:15 -</v>
      </c>
      <c r="AF15" s="91"/>
      <c r="AG15" s="87"/>
      <c r="AH15" s="87"/>
      <c r="AI15" s="131">
        <f>SUM(AI3:AI14)</f>
        <v>21</v>
      </c>
      <c r="AJ15" s="131" t="e">
        <f>SUM(AJ3:AJ14)</f>
        <v>#N/A</v>
      </c>
      <c r="AK15" s="131">
        <f>SUM(AK3:AK14)</f>
        <v>3</v>
      </c>
      <c r="AL15" s="131">
        <f t="shared" ref="AL15:AN15" si="26">SUM(AL3:AL14)</f>
        <v>3</v>
      </c>
      <c r="AM15" s="131">
        <f t="shared" si="26"/>
        <v>3</v>
      </c>
      <c r="AN15" s="131">
        <f t="shared" si="26"/>
        <v>3</v>
      </c>
      <c r="AO15" s="135">
        <f t="shared" ref="AO15:AT15" si="27">SUM(AO3:AO14)</f>
        <v>3</v>
      </c>
      <c r="AP15" s="135">
        <f t="shared" si="27"/>
        <v>3</v>
      </c>
      <c r="AQ15" s="135">
        <f t="shared" si="27"/>
        <v>2</v>
      </c>
      <c r="AR15" s="135">
        <f t="shared" si="27"/>
        <v>1</v>
      </c>
      <c r="AS15" s="135">
        <f t="shared" si="27"/>
        <v>0</v>
      </c>
      <c r="AT15" s="135">
        <f t="shared" si="27"/>
        <v>0</v>
      </c>
    </row>
    <row r="16" spans="1:46" s="86" customFormat="1" ht="11.25" customHeight="1" x14ac:dyDescent="0.25">
      <c r="A16" s="92">
        <f t="shared" si="16"/>
        <v>14</v>
      </c>
      <c r="B16" s="93" t="s">
        <v>13</v>
      </c>
      <c r="C16" s="125" t="str">
        <f t="shared" si="25"/>
        <v>Lorenz-Baath, Katrin</v>
      </c>
      <c r="D16" s="92" t="str">
        <f t="shared" si="1"/>
        <v>KLB</v>
      </c>
      <c r="E16" s="93" t="s">
        <v>13</v>
      </c>
      <c r="F16" s="94">
        <v>2</v>
      </c>
      <c r="G16" s="92" t="str">
        <f t="shared" si="17"/>
        <v>D2</v>
      </c>
      <c r="H16" s="92" t="str">
        <f t="shared" si="18"/>
        <v>D2KLB</v>
      </c>
      <c r="I16" s="95">
        <f t="shared" si="2"/>
        <v>3.09</v>
      </c>
      <c r="J16" s="92">
        <v>3</v>
      </c>
      <c r="K16" s="96">
        <f t="shared" si="3"/>
        <v>1.0607307291666668</v>
      </c>
      <c r="L16" s="96">
        <f t="shared" si="4"/>
        <v>1.05</v>
      </c>
      <c r="M16" s="96">
        <f>IF(LEN(G16)&gt;0,VLOOKUP(O16-Parameters!$C$33,Zeit,2),0)</f>
        <v>1</v>
      </c>
      <c r="N16" s="76">
        <f t="shared" si="5"/>
        <v>1.1137672656250002</v>
      </c>
      <c r="O16" s="97">
        <f t="shared" si="19"/>
        <v>1.7085292183479182</v>
      </c>
      <c r="P16" s="98">
        <f>VLOOKUP(H16,TimeBasis!A:B,2,FALSE)*N16</f>
        <v>2.3003354644978845E-2</v>
      </c>
      <c r="Q16" s="127" t="str">
        <f t="shared" si="6"/>
        <v/>
      </c>
      <c r="R16" s="99">
        <f t="shared" si="20"/>
        <v>6.7676830376519111E-3</v>
      </c>
      <c r="S16" s="99">
        <v>0</v>
      </c>
      <c r="T16" s="100">
        <f t="shared" si="21"/>
        <v>1.6676967592592593</v>
      </c>
      <c r="U16" s="101">
        <v>1.4583333333333332E-2</v>
      </c>
      <c r="V16" s="101" t="s">
        <v>83</v>
      </c>
      <c r="W16" s="130">
        <f t="shared" si="22"/>
        <v>14</v>
      </c>
      <c r="X16" s="98" t="str">
        <f t="shared" si="7"/>
        <v>-12:07</v>
      </c>
      <c r="Y16" s="98" t="str">
        <f t="shared" si="23"/>
        <v>-70:55</v>
      </c>
      <c r="Z16" s="102">
        <f t="shared" si="8"/>
        <v>2.1</v>
      </c>
      <c r="AA16" s="103">
        <f t="shared" si="9"/>
        <v>110</v>
      </c>
      <c r="AB16" s="102">
        <f>IF(E16&gt;0,Z16+AA16*Climbfaktor/1000,VLOOKUP($E16,CoursesBasis!B$3:K$28,9,FALSE))</f>
        <v>3.09</v>
      </c>
      <c r="AC16" s="104">
        <f t="shared" si="24"/>
        <v>4.7195253505933118E-3</v>
      </c>
      <c r="AD16" s="104">
        <f t="shared" si="10"/>
        <v>4.2374430424159662E-3</v>
      </c>
      <c r="AE16" s="104" t="str">
        <f t="shared" si="11"/>
        <v>3:39 -</v>
      </c>
      <c r="AF16" s="91"/>
    </row>
    <row r="17" spans="1:49" s="86" customFormat="1" ht="11.25" customHeight="1" x14ac:dyDescent="0.25">
      <c r="A17" s="92">
        <f t="shared" si="16"/>
        <v>15</v>
      </c>
      <c r="B17" s="93" t="s">
        <v>14</v>
      </c>
      <c r="C17" s="125" t="str">
        <f t="shared" si="25"/>
        <v>Lexen, Gert</v>
      </c>
      <c r="D17" s="92" t="str">
        <f t="shared" si="1"/>
        <v>GL</v>
      </c>
      <c r="E17" s="93" t="s">
        <v>13</v>
      </c>
      <c r="F17" s="94">
        <v>3</v>
      </c>
      <c r="G17" s="92" t="str">
        <f t="shared" si="17"/>
        <v>D3</v>
      </c>
      <c r="H17" s="92" t="str">
        <f t="shared" si="18"/>
        <v>D3GL</v>
      </c>
      <c r="I17" s="95">
        <f t="shared" si="2"/>
        <v>3.5</v>
      </c>
      <c r="J17" s="92">
        <v>3</v>
      </c>
      <c r="K17" s="96">
        <f t="shared" si="3"/>
        <v>1.0684504749999999</v>
      </c>
      <c r="L17" s="96">
        <f t="shared" si="4"/>
        <v>1.05</v>
      </c>
      <c r="M17" s="96">
        <f>IF(LEN(G17)&gt;0,VLOOKUP(O17-Parameters!$C$33,Zeit,2),0)</f>
        <v>1</v>
      </c>
      <c r="N17" s="76">
        <f t="shared" si="5"/>
        <v>1.12187299875</v>
      </c>
      <c r="O17" s="97">
        <f t="shared" si="19"/>
        <v>1.731532572992897</v>
      </c>
      <c r="P17" s="98">
        <f>VLOOKUP(H17,TimeBasis!A:B,2,FALSE)*N17</f>
        <v>2.6995069032421878E-2</v>
      </c>
      <c r="Q17" s="127" t="str">
        <f t="shared" si="6"/>
        <v/>
      </c>
      <c r="R17" s="99">
        <f t="shared" si="20"/>
        <v>7.0117062421874996E-3</v>
      </c>
      <c r="S17" s="99">
        <v>0</v>
      </c>
      <c r="T17" s="100">
        <f t="shared" si="21"/>
        <v>1.6822800925925927</v>
      </c>
      <c r="U17" s="101">
        <v>1.9444444444444445E-2</v>
      </c>
      <c r="V17" s="101" t="s">
        <v>83</v>
      </c>
      <c r="W17" s="130">
        <f t="shared" si="22"/>
        <v>15</v>
      </c>
      <c r="X17" s="98" t="str">
        <f t="shared" si="7"/>
        <v>-10:52</v>
      </c>
      <c r="Y17" s="98" t="str">
        <f t="shared" si="23"/>
        <v>-81:48</v>
      </c>
      <c r="Z17" s="102">
        <f t="shared" si="8"/>
        <v>2.6</v>
      </c>
      <c r="AA17" s="103">
        <f t="shared" si="9"/>
        <v>100</v>
      </c>
      <c r="AB17" s="102">
        <f>IF(E17&gt;0,Z17+AA17*Climbfaktor/1000,VLOOKUP($E17,CoursesBasis!B$3:K$28,9,FALSE))</f>
        <v>3.5</v>
      </c>
      <c r="AC17" s="104">
        <f t="shared" si="24"/>
        <v>5.5555555555555558E-3</v>
      </c>
      <c r="AD17" s="104">
        <f t="shared" si="10"/>
        <v>4.9520360698096849E-3</v>
      </c>
      <c r="AE17" s="104" t="str">
        <f t="shared" si="11"/>
        <v>2:58 -</v>
      </c>
      <c r="AF17" s="91"/>
      <c r="AG17" s="145" t="s">
        <v>18</v>
      </c>
      <c r="AH17" s="146"/>
      <c r="AI17" s="146"/>
      <c r="AJ17" s="147"/>
      <c r="AK17" s="139" t="s">
        <v>37</v>
      </c>
      <c r="AL17" s="131" t="s">
        <v>95</v>
      </c>
      <c r="AM17" s="131" t="s">
        <v>14</v>
      </c>
      <c r="AN17" s="131" t="s">
        <v>13</v>
      </c>
      <c r="AO17" s="131" t="s">
        <v>4</v>
      </c>
      <c r="AP17" s="131" t="s">
        <v>5</v>
      </c>
      <c r="AQ17" s="131"/>
      <c r="AR17" s="131"/>
      <c r="AS17" s="131"/>
      <c r="AT17" s="131"/>
      <c r="AU17" s="131"/>
      <c r="AV17" s="131"/>
      <c r="AW17" s="131"/>
    </row>
    <row r="18" spans="1:49" s="86" customFormat="1" ht="11.25" customHeight="1" x14ac:dyDescent="0.25">
      <c r="A18" s="92">
        <f t="shared" si="16"/>
        <v>16</v>
      </c>
      <c r="B18" s="93" t="s">
        <v>8</v>
      </c>
      <c r="C18" s="125" t="str">
        <f t="shared" si="25"/>
        <v>Baath, Ole</v>
      </c>
      <c r="D18" s="92" t="str">
        <f t="shared" si="1"/>
        <v>OB</v>
      </c>
      <c r="E18" s="93" t="s">
        <v>13</v>
      </c>
      <c r="F18" s="94">
        <v>5</v>
      </c>
      <c r="G18" s="92" t="str">
        <f t="shared" si="17"/>
        <v>D5</v>
      </c>
      <c r="H18" s="92" t="str">
        <f t="shared" si="18"/>
        <v>D5OB</v>
      </c>
      <c r="I18" s="95">
        <f t="shared" si="2"/>
        <v>4.3899999999999997</v>
      </c>
      <c r="J18" s="92">
        <v>4</v>
      </c>
      <c r="K18" s="96">
        <f t="shared" si="3"/>
        <v>1.074805201</v>
      </c>
      <c r="L18" s="96">
        <f t="shared" si="4"/>
        <v>1.1000000000000001</v>
      </c>
      <c r="M18" s="96">
        <f>IF(LEN(G18)&gt;0,VLOOKUP(O18-Parameters!$C$33,Zeit,2),0)</f>
        <v>1</v>
      </c>
      <c r="N18" s="76">
        <f t="shared" si="5"/>
        <v>1.1822857211000002</v>
      </c>
      <c r="O18" s="97">
        <f t="shared" si="19"/>
        <v>1.7585276420253189</v>
      </c>
      <c r="P18" s="98">
        <f>VLOOKUP(H18,TimeBasis!A:B,2,FALSE)*N18</f>
        <v>3.0726908014400863E-2</v>
      </c>
      <c r="Q18" s="127" t="str">
        <f t="shared" si="6"/>
        <v/>
      </c>
      <c r="R18" s="99">
        <f t="shared" si="20"/>
        <v>6.3629960684201412E-3</v>
      </c>
      <c r="S18" s="99">
        <v>0</v>
      </c>
      <c r="T18" s="100">
        <f t="shared" si="21"/>
        <v>1.7017245370370371</v>
      </c>
      <c r="U18" s="101">
        <v>3.2303240740740737E-2</v>
      </c>
      <c r="V18" s="101" t="s">
        <v>83</v>
      </c>
      <c r="W18" s="130">
        <f t="shared" si="22"/>
        <v>16</v>
      </c>
      <c r="X18" s="98" t="str">
        <f t="shared" si="7"/>
        <v>+2:16</v>
      </c>
      <c r="Y18" s="98" t="str">
        <f t="shared" si="23"/>
        <v>-79:32</v>
      </c>
      <c r="Z18" s="102">
        <f t="shared" si="8"/>
        <v>3.4</v>
      </c>
      <c r="AA18" s="103">
        <f t="shared" si="9"/>
        <v>110</v>
      </c>
      <c r="AB18" s="102">
        <f>IF(E18&gt;0,Z18+AA18*Climbfaktor/1000,VLOOKUP($E18,CoursesBasis!B$3:K$28,9,FALSE))</f>
        <v>4.3899999999999997</v>
      </c>
      <c r="AC18" s="104">
        <f t="shared" si="24"/>
        <v>7.3583691892347928E-3</v>
      </c>
      <c r="AD18" s="104">
        <f t="shared" si="10"/>
        <v>6.2238501725188364E-3</v>
      </c>
      <c r="AE18" s="104" t="str">
        <f t="shared" si="11"/>
        <v>0:12 -</v>
      </c>
      <c r="AF18" s="91"/>
      <c r="AG18" s="148" t="str">
        <f t="shared" ref="AG18:AG22" si="28">C3</f>
        <v>Baath, Ole</v>
      </c>
      <c r="AH18" s="149"/>
      <c r="AI18" s="149"/>
      <c r="AJ18" s="150"/>
      <c r="AK18" s="140" t="str">
        <f>D3</f>
        <v>OB</v>
      </c>
      <c r="AL18" s="112">
        <f t="shared" ref="AL18:AW22" si="29">IF(COUNTIFS($C:$C,$AG18,$E:$E,AL$17)&gt;0,SUMIFS($U:$U,$C:$C,$AG18,$E:$E,AL$17)/COUNTIFS($C:$C,$AG18,$E:$E,AL$17),"")</f>
        <v>1.3981481481481484E-2</v>
      </c>
      <c r="AM18" s="112">
        <f t="shared" si="29"/>
        <v>3.1631944444444442E-2</v>
      </c>
      <c r="AN18" s="112">
        <f t="shared" si="29"/>
        <v>3.2303240740740737E-2</v>
      </c>
      <c r="AO18" s="112" t="str">
        <f t="shared" si="29"/>
        <v/>
      </c>
      <c r="AP18" s="112" t="str">
        <f t="shared" si="29"/>
        <v/>
      </c>
      <c r="AQ18" s="112" t="str">
        <f t="shared" si="29"/>
        <v/>
      </c>
      <c r="AR18" s="112" t="str">
        <f t="shared" si="29"/>
        <v/>
      </c>
      <c r="AS18" s="112" t="str">
        <f t="shared" si="29"/>
        <v/>
      </c>
      <c r="AT18" s="112" t="str">
        <f t="shared" si="29"/>
        <v/>
      </c>
      <c r="AU18" s="112" t="str">
        <f t="shared" si="29"/>
        <v/>
      </c>
      <c r="AV18" s="112" t="str">
        <f t="shared" si="29"/>
        <v/>
      </c>
      <c r="AW18" s="112" t="str">
        <f t="shared" si="29"/>
        <v/>
      </c>
    </row>
    <row r="19" spans="1:49" s="86" customFormat="1" ht="11.25" customHeight="1" x14ac:dyDescent="0.25">
      <c r="A19" s="92">
        <f t="shared" si="16"/>
        <v>17</v>
      </c>
      <c r="B19" s="93" t="s">
        <v>9</v>
      </c>
      <c r="C19" s="125" t="str">
        <f t="shared" si="25"/>
        <v>Baath, Veikko</v>
      </c>
      <c r="D19" s="92" t="str">
        <f t="shared" si="1"/>
        <v>VB</v>
      </c>
      <c r="E19" s="93" t="s">
        <v>14</v>
      </c>
      <c r="F19" s="94">
        <v>5</v>
      </c>
      <c r="G19" s="92" t="str">
        <f t="shared" si="17"/>
        <v>E5</v>
      </c>
      <c r="H19" s="92" t="str">
        <f t="shared" si="18"/>
        <v>E5VB</v>
      </c>
      <c r="I19" s="95">
        <f t="shared" si="2"/>
        <v>5.0549999999999997</v>
      </c>
      <c r="J19" s="92">
        <v>4</v>
      </c>
      <c r="K19" s="96">
        <f t="shared" si="3"/>
        <v>1.0865412890624999</v>
      </c>
      <c r="L19" s="96">
        <f t="shared" si="4"/>
        <v>1</v>
      </c>
      <c r="M19" s="96">
        <f>IF(LEN(G19)&gt;0,VLOOKUP(O19-Parameters!$C$33,Zeit,2),0)</f>
        <v>1</v>
      </c>
      <c r="N19" s="76">
        <f t="shared" si="5"/>
        <v>1.0865412890624999</v>
      </c>
      <c r="O19" s="97">
        <f t="shared" si="19"/>
        <v>1.7892545500397197</v>
      </c>
      <c r="P19" s="98">
        <f>VLOOKUP(H19,TimeBasis!A:B,2,FALSE)*N19</f>
        <v>3.0895122466186517E-2</v>
      </c>
      <c r="Q19" s="127" t="str">
        <f t="shared" si="6"/>
        <v/>
      </c>
      <c r="R19" s="99">
        <f t="shared" si="20"/>
        <v>6.7908830566406238E-3</v>
      </c>
      <c r="S19" s="99">
        <v>0</v>
      </c>
      <c r="T19" s="100">
        <f t="shared" si="21"/>
        <v>1.7340277777777777</v>
      </c>
      <c r="U19" s="101">
        <v>2.6446759259259264E-2</v>
      </c>
      <c r="V19" s="101" t="s">
        <v>83</v>
      </c>
      <c r="W19" s="130">
        <f t="shared" si="22"/>
        <v>17</v>
      </c>
      <c r="X19" s="98" t="str">
        <f t="shared" si="7"/>
        <v>-6:24</v>
      </c>
      <c r="Y19" s="98" t="str">
        <f t="shared" si="23"/>
        <v>-85:56</v>
      </c>
      <c r="Z19" s="102">
        <f t="shared" si="8"/>
        <v>4.2</v>
      </c>
      <c r="AA19" s="103">
        <f t="shared" si="9"/>
        <v>95</v>
      </c>
      <c r="AB19" s="102">
        <f>IF(E19&gt;0,Z19+AA19*Climbfaktor/1000,VLOOKUP($E19,CoursesBasis!B$3:K$28,9,FALSE))</f>
        <v>5.0549999999999997</v>
      </c>
      <c r="AC19" s="104">
        <f t="shared" si="24"/>
        <v>5.2318020295270551E-3</v>
      </c>
      <c r="AD19" s="104">
        <f t="shared" si="10"/>
        <v>4.8150973020465787E-3</v>
      </c>
      <c r="AE19" s="104" t="str">
        <f t="shared" si="11"/>
        <v>2:51 -</v>
      </c>
      <c r="AF19" s="91"/>
      <c r="AG19" s="148" t="str">
        <f t="shared" si="28"/>
        <v>Baath, Veikko</v>
      </c>
      <c r="AH19" s="149"/>
      <c r="AI19" s="149"/>
      <c r="AJ19" s="150"/>
      <c r="AK19" s="140" t="str">
        <f t="shared" ref="AK19:AK22" si="30">D4</f>
        <v>VB</v>
      </c>
      <c r="AL19" s="112">
        <f t="shared" si="29"/>
        <v>2.210648148148148E-2</v>
      </c>
      <c r="AM19" s="112">
        <f t="shared" si="29"/>
        <v>2.2899305555555558E-2</v>
      </c>
      <c r="AN19" s="112">
        <f t="shared" si="29"/>
        <v>2.4247685185185181E-2</v>
      </c>
      <c r="AO19" s="112" t="str">
        <f t="shared" si="29"/>
        <v/>
      </c>
      <c r="AP19" s="112" t="str">
        <f t="shared" si="29"/>
        <v/>
      </c>
      <c r="AQ19" s="112" t="str">
        <f t="shared" si="29"/>
        <v/>
      </c>
      <c r="AR19" s="112" t="str">
        <f t="shared" si="29"/>
        <v/>
      </c>
      <c r="AS19" s="112" t="str">
        <f t="shared" si="29"/>
        <v/>
      </c>
      <c r="AT19" s="112" t="str">
        <f t="shared" si="29"/>
        <v/>
      </c>
      <c r="AU19" s="112" t="str">
        <f t="shared" si="29"/>
        <v/>
      </c>
      <c r="AV19" s="112" t="str">
        <f t="shared" si="29"/>
        <v/>
      </c>
      <c r="AW19" s="112" t="str">
        <f t="shared" si="29"/>
        <v/>
      </c>
    </row>
    <row r="20" spans="1:49" s="86" customFormat="1" ht="11.25" customHeight="1" x14ac:dyDescent="0.25">
      <c r="A20" s="92">
        <f t="shared" si="16"/>
        <v>18</v>
      </c>
      <c r="B20" s="93" t="s">
        <v>11</v>
      </c>
      <c r="C20" s="125" t="str">
        <f t="shared" si="25"/>
        <v>Hagen-Ritzentahler, Kristin</v>
      </c>
      <c r="D20" s="92" t="str">
        <f t="shared" si="1"/>
        <v>KHR</v>
      </c>
      <c r="E20" s="93" t="s">
        <v>14</v>
      </c>
      <c r="F20" s="94">
        <v>8</v>
      </c>
      <c r="G20" s="92" t="str">
        <f t="shared" si="17"/>
        <v>E8</v>
      </c>
      <c r="H20" s="92" t="str">
        <f t="shared" si="18"/>
        <v>E8KHR</v>
      </c>
      <c r="I20" s="95">
        <f t="shared" si="2"/>
        <v>7.9300000000000006</v>
      </c>
      <c r="J20" s="92">
        <v>4</v>
      </c>
      <c r="K20" s="96">
        <f t="shared" si="3"/>
        <v>1.0776103960374999</v>
      </c>
      <c r="L20" s="96">
        <f t="shared" si="4"/>
        <v>1</v>
      </c>
      <c r="M20" s="96">
        <f>IF(LEN(G20)&gt;0,VLOOKUP(O20-Parameters!$C$33,Zeit,2),0)</f>
        <v>1</v>
      </c>
      <c r="N20" s="76">
        <f t="shared" si="5"/>
        <v>1.0776103960374999</v>
      </c>
      <c r="O20" s="97">
        <f t="shared" si="19"/>
        <v>1.8201496725059061</v>
      </c>
      <c r="P20" s="98">
        <f>VLOOKUP(H20,TimeBasis!A:B,2,FALSE)*N20</f>
        <v>4.0056798940206438E-2</v>
      </c>
      <c r="Q20" s="127" t="str">
        <f t="shared" si="6"/>
        <v/>
      </c>
      <c r="R20" s="99">
        <f t="shared" si="20"/>
        <v>5.6125541460286445E-3</v>
      </c>
      <c r="S20" s="99">
        <v>0</v>
      </c>
      <c r="T20" s="100">
        <f t="shared" si="21"/>
        <v>1.7604745370370369</v>
      </c>
      <c r="U20" s="101">
        <v>3.7418981481481477E-2</v>
      </c>
      <c r="V20" s="101" t="s">
        <v>83</v>
      </c>
      <c r="W20" s="130">
        <f t="shared" si="22"/>
        <v>18</v>
      </c>
      <c r="X20" s="98" t="str">
        <f t="shared" si="7"/>
        <v>-3:48</v>
      </c>
      <c r="Y20" s="98" t="str">
        <f t="shared" si="23"/>
        <v>-89:44</v>
      </c>
      <c r="Z20" s="102">
        <f t="shared" si="8"/>
        <v>6.4</v>
      </c>
      <c r="AA20" s="103">
        <f t="shared" si="9"/>
        <v>170</v>
      </c>
      <c r="AB20" s="102">
        <f>IF(E20&gt;0,Z20+AA20*Climbfaktor/1000,VLOOKUP($E20,CoursesBasis!B$3:K$28,9,FALSE))</f>
        <v>7.9300000000000006</v>
      </c>
      <c r="AC20" s="104">
        <f t="shared" si="24"/>
        <v>4.7186609686609678E-3</v>
      </c>
      <c r="AD20" s="104">
        <f t="shared" si="10"/>
        <v>4.3788190852761246E-3</v>
      </c>
      <c r="AE20" s="104" t="str">
        <f t="shared" si="11"/>
        <v>1:47 -</v>
      </c>
      <c r="AF20" s="91"/>
      <c r="AG20" s="148" t="str">
        <f t="shared" si="28"/>
        <v>Hagen-Ritzentahler, Kristin</v>
      </c>
      <c r="AH20" s="149"/>
      <c r="AI20" s="149"/>
      <c r="AJ20" s="150"/>
      <c r="AK20" s="140" t="str">
        <f t="shared" si="30"/>
        <v>KHR</v>
      </c>
      <c r="AL20" s="112">
        <f t="shared" si="29"/>
        <v>2.9201388888888888E-2</v>
      </c>
      <c r="AM20" s="112">
        <f t="shared" si="29"/>
        <v>3.5931712962962964E-2</v>
      </c>
      <c r="AN20" s="112">
        <f t="shared" si="29"/>
        <v>2.7893518518518515E-2</v>
      </c>
      <c r="AO20" s="112" t="str">
        <f t="shared" si="29"/>
        <v/>
      </c>
      <c r="AP20" s="112" t="str">
        <f t="shared" si="29"/>
        <v/>
      </c>
      <c r="AQ20" s="112" t="str">
        <f t="shared" si="29"/>
        <v/>
      </c>
      <c r="AR20" s="112" t="str">
        <f t="shared" si="29"/>
        <v/>
      </c>
      <c r="AS20" s="112" t="str">
        <f t="shared" si="29"/>
        <v/>
      </c>
      <c r="AT20" s="112" t="str">
        <f t="shared" si="29"/>
        <v/>
      </c>
      <c r="AU20" s="112" t="str">
        <f t="shared" si="29"/>
        <v/>
      </c>
      <c r="AV20" s="112" t="str">
        <f t="shared" si="29"/>
        <v/>
      </c>
      <c r="AW20" s="112" t="str">
        <f t="shared" si="29"/>
        <v/>
      </c>
    </row>
    <row r="21" spans="1:49" s="86" customFormat="1" ht="11.25" customHeight="1" x14ac:dyDescent="0.25">
      <c r="A21" s="92">
        <f t="shared" si="16"/>
        <v>19</v>
      </c>
      <c r="B21" s="93" t="s">
        <v>13</v>
      </c>
      <c r="C21" s="125" t="str">
        <f t="shared" si="25"/>
        <v>Lorenz-Baath, Katrin - too late</v>
      </c>
      <c r="D21" s="92" t="str">
        <f t="shared" si="1"/>
        <v>KLB</v>
      </c>
      <c r="E21" s="93" t="s">
        <v>13</v>
      </c>
      <c r="F21" s="94">
        <v>7</v>
      </c>
      <c r="G21" s="92" t="str">
        <f t="shared" si="17"/>
        <v>D7</v>
      </c>
      <c r="H21" s="92" t="str">
        <f t="shared" si="18"/>
        <v>D7KLB</v>
      </c>
      <c r="I21" s="95">
        <f t="shared" si="2"/>
        <v>6.33</v>
      </c>
      <c r="J21" s="92">
        <v>4</v>
      </c>
      <c r="K21" s="96">
        <f t="shared" si="3"/>
        <v>1.0865412890624999</v>
      </c>
      <c r="L21" s="96">
        <f t="shared" si="4"/>
        <v>1.05</v>
      </c>
      <c r="M21" s="96">
        <f>IF(LEN(G21)&gt;0,VLOOKUP(O21-Parameters!$C$33,Zeit,2),0)</f>
        <v>1</v>
      </c>
      <c r="N21" s="76">
        <f t="shared" si="5"/>
        <v>1.140868353515625</v>
      </c>
      <c r="O21" s="97">
        <f t="shared" si="19"/>
        <v>1.8602064714461126</v>
      </c>
      <c r="P21" s="98">
        <f>VLOOKUP(H21,TimeBasis!A:B,2,FALSE)*N21</f>
        <v>4.8270021196792606E-2</v>
      </c>
      <c r="Q21" s="127" t="str">
        <f t="shared" si="6"/>
        <v>x</v>
      </c>
      <c r="R21" s="99">
        <f t="shared" si="20"/>
        <v>6.9323597869873051E-3</v>
      </c>
      <c r="S21" s="99">
        <v>0</v>
      </c>
      <c r="T21" s="100">
        <f t="shared" si="21"/>
        <v>1.7978935185185183</v>
      </c>
      <c r="U21" s="101">
        <v>4.1504629629629627E-2</v>
      </c>
      <c r="V21" s="101" t="s">
        <v>83</v>
      </c>
      <c r="W21" s="130">
        <f t="shared" si="22"/>
        <v>19</v>
      </c>
      <c r="X21" s="98" t="str">
        <f t="shared" si="7"/>
        <v>-9:45</v>
      </c>
      <c r="Y21" s="98" t="str">
        <f t="shared" si="23"/>
        <v>-99:28</v>
      </c>
      <c r="Z21" s="102">
        <f t="shared" si="8"/>
        <v>4.8</v>
      </c>
      <c r="AA21" s="103">
        <f t="shared" si="9"/>
        <v>170</v>
      </c>
      <c r="AB21" s="102">
        <f>IF(E21&gt;0,Z21+AA21*Climbfaktor/1000,VLOOKUP($E21,CoursesBasis!B$3:K$28,9,FALSE))</f>
        <v>6.33</v>
      </c>
      <c r="AC21" s="104">
        <f t="shared" si="24"/>
        <v>6.5568135275876184E-3</v>
      </c>
      <c r="AD21" s="104">
        <f t="shared" si="10"/>
        <v>5.7472130832471359E-3</v>
      </c>
      <c r="AE21" s="104" t="str">
        <f t="shared" si="11"/>
        <v>1:42 -</v>
      </c>
      <c r="AF21" s="91"/>
      <c r="AG21" s="148" t="str">
        <f t="shared" si="28"/>
        <v>Lorenz-Baath, Katrin</v>
      </c>
      <c r="AH21" s="149"/>
      <c r="AI21" s="149"/>
      <c r="AJ21" s="150"/>
      <c r="AK21" s="140" t="str">
        <f t="shared" si="30"/>
        <v>KLB</v>
      </c>
      <c r="AL21" s="112">
        <f t="shared" si="29"/>
        <v>1.5717592592592592E-2</v>
      </c>
      <c r="AM21" s="112">
        <f t="shared" si="29"/>
        <v>2.5405092592592594E-2</v>
      </c>
      <c r="AN21" s="112">
        <f t="shared" si="29"/>
        <v>1.4583333333333332E-2</v>
      </c>
      <c r="AO21" s="112" t="str">
        <f t="shared" si="29"/>
        <v/>
      </c>
      <c r="AP21" s="112" t="str">
        <f t="shared" si="29"/>
        <v/>
      </c>
      <c r="AQ21" s="112" t="str">
        <f t="shared" si="29"/>
        <v/>
      </c>
      <c r="AR21" s="112" t="str">
        <f t="shared" si="29"/>
        <v/>
      </c>
      <c r="AS21" s="112" t="str">
        <f t="shared" si="29"/>
        <v/>
      </c>
      <c r="AT21" s="112" t="str">
        <f t="shared" si="29"/>
        <v/>
      </c>
      <c r="AU21" s="112" t="str">
        <f t="shared" si="29"/>
        <v/>
      </c>
      <c r="AV21" s="112" t="str">
        <f t="shared" si="29"/>
        <v/>
      </c>
      <c r="AW21" s="112" t="str">
        <f t="shared" si="29"/>
        <v/>
      </c>
    </row>
    <row r="22" spans="1:49" s="86" customFormat="1" ht="11.25" customHeight="1" x14ac:dyDescent="0.25">
      <c r="A22" s="92">
        <f t="shared" si="16"/>
        <v>20</v>
      </c>
      <c r="B22" s="93" t="s">
        <v>14</v>
      </c>
      <c r="C22" s="125" t="str">
        <f t="shared" si="25"/>
        <v>Lexen, Gert - too late</v>
      </c>
      <c r="D22" s="92" t="str">
        <f t="shared" si="1"/>
        <v>GL</v>
      </c>
      <c r="E22" s="93" t="s">
        <v>13</v>
      </c>
      <c r="F22" s="94">
        <v>1</v>
      </c>
      <c r="G22" s="92" t="str">
        <f t="shared" si="17"/>
        <v>D1</v>
      </c>
      <c r="H22" s="92" t="str">
        <f t="shared" si="18"/>
        <v>D1GL</v>
      </c>
      <c r="I22" s="95">
        <f t="shared" si="2"/>
        <v>2.5549999999999997</v>
      </c>
      <c r="J22" s="92">
        <v>4</v>
      </c>
      <c r="K22" s="96">
        <f t="shared" si="3"/>
        <v>1.099595441125</v>
      </c>
      <c r="L22" s="96">
        <f t="shared" si="4"/>
        <v>1.05</v>
      </c>
      <c r="M22" s="96">
        <f>IF(LEN(G22)&gt;0,VLOOKUP(O22-Parameters!$C$33,Zeit,2),0)</f>
        <v>1.1200000000000001</v>
      </c>
      <c r="N22" s="76">
        <f t="shared" si="5"/>
        <v>1.2931242387630002</v>
      </c>
      <c r="O22" s="97">
        <f t="shared" si="19"/>
        <v>1.9084764926429052</v>
      </c>
      <c r="P22" s="98">
        <f>VLOOKUP(H22,TimeBasis!A:B,2,FALSE)*N22</f>
        <v>2.2714535456521322E-2</v>
      </c>
      <c r="Q22" s="127" t="str">
        <f t="shared" si="6"/>
        <v>x</v>
      </c>
      <c r="R22" s="99">
        <f t="shared" si="20"/>
        <v>8.0820264922687509E-3</v>
      </c>
      <c r="S22" s="99">
        <v>0</v>
      </c>
      <c r="T22" s="100">
        <f t="shared" si="21"/>
        <v>1.8393981481481478</v>
      </c>
      <c r="U22" s="101">
        <v>1.1967592592592592E-2</v>
      </c>
      <c r="V22" s="101" t="s">
        <v>83</v>
      </c>
      <c r="W22" s="130">
        <f t="shared" si="22"/>
        <v>20</v>
      </c>
      <c r="X22" s="98" t="str">
        <f t="shared" si="7"/>
        <v>-15:29</v>
      </c>
      <c r="Y22" s="98" t="str">
        <f t="shared" si="23"/>
        <v>-114:57</v>
      </c>
      <c r="Z22" s="102">
        <f t="shared" si="8"/>
        <v>1.7</v>
      </c>
      <c r="AA22" s="103">
        <f t="shared" si="9"/>
        <v>95</v>
      </c>
      <c r="AB22" s="102">
        <f>IF(E22&gt;0,Z22+AA22*Climbfaktor/1000,VLOOKUP($E22,CoursesBasis!B$3:K$28,9,FALSE))</f>
        <v>2.5549999999999997</v>
      </c>
      <c r="AC22" s="104">
        <f t="shared" si="24"/>
        <v>4.6839892730303695E-3</v>
      </c>
      <c r="AD22" s="104">
        <f t="shared" si="10"/>
        <v>3.6222267997319912E-3</v>
      </c>
      <c r="AE22" s="104" t="str">
        <f t="shared" si="11"/>
        <v>6:25 -</v>
      </c>
      <c r="AF22" s="91"/>
      <c r="AG22" s="148" t="str">
        <f t="shared" si="28"/>
        <v>Lexen, Gert</v>
      </c>
      <c r="AH22" s="149"/>
      <c r="AI22" s="149"/>
      <c r="AJ22" s="150"/>
      <c r="AK22" s="140" t="str">
        <f t="shared" si="30"/>
        <v>GL</v>
      </c>
      <c r="AL22" s="112">
        <f t="shared" si="29"/>
        <v>1.577546296296296E-2</v>
      </c>
      <c r="AM22" s="112">
        <f t="shared" si="29"/>
        <v>1.8958333333333334E-2</v>
      </c>
      <c r="AN22" s="112">
        <f t="shared" si="29"/>
        <v>1.9444444444444445E-2</v>
      </c>
      <c r="AO22" s="112" t="str">
        <f t="shared" si="29"/>
        <v/>
      </c>
      <c r="AP22" s="112" t="str">
        <f t="shared" si="29"/>
        <v/>
      </c>
      <c r="AQ22" s="112" t="str">
        <f t="shared" si="29"/>
        <v/>
      </c>
      <c r="AR22" s="112" t="str">
        <f t="shared" si="29"/>
        <v/>
      </c>
      <c r="AS22" s="112" t="str">
        <f t="shared" si="29"/>
        <v/>
      </c>
      <c r="AT22" s="112" t="str">
        <f t="shared" si="29"/>
        <v/>
      </c>
      <c r="AU22" s="112" t="str">
        <f t="shared" si="29"/>
        <v/>
      </c>
      <c r="AV22" s="112" t="str">
        <f t="shared" si="29"/>
        <v/>
      </c>
      <c r="AW22" s="112" t="str">
        <f t="shared" si="29"/>
        <v/>
      </c>
    </row>
    <row r="23" spans="1:49" s="86" customFormat="1" ht="11.25" customHeight="1" x14ac:dyDescent="0.25">
      <c r="A23" s="92">
        <f t="shared" si="16"/>
        <v>21</v>
      </c>
      <c r="B23" s="93" t="s">
        <v>9</v>
      </c>
      <c r="C23" s="125" t="str">
        <f t="shared" si="25"/>
        <v>Baath, Veikko - too late</v>
      </c>
      <c r="D23" s="92" t="str">
        <f t="shared" si="1"/>
        <v>VB</v>
      </c>
      <c r="E23" s="93" t="s">
        <v>14</v>
      </c>
      <c r="F23" s="94">
        <v>1</v>
      </c>
      <c r="G23" s="92" t="str">
        <f t="shared" si="17"/>
        <v>E1</v>
      </c>
      <c r="H23" s="92" t="str">
        <f t="shared" si="18"/>
        <v>E1VB</v>
      </c>
      <c r="I23" s="95">
        <f t="shared" si="2"/>
        <v>2.9299999999999997</v>
      </c>
      <c r="J23" s="92">
        <v>5</v>
      </c>
      <c r="K23" s="96">
        <f t="shared" si="3"/>
        <v>1.1096189661458333</v>
      </c>
      <c r="L23" s="96">
        <f t="shared" si="4"/>
        <v>1</v>
      </c>
      <c r="M23" s="96">
        <f>IF(LEN(G23)&gt;0,VLOOKUP(O23-Parameters!$C$33,Zeit,2),0)</f>
        <v>1.1200000000000001</v>
      </c>
      <c r="N23" s="76">
        <f t="shared" si="5"/>
        <v>1.2427732420833335</v>
      </c>
      <c r="O23" s="97">
        <f t="shared" si="19"/>
        <v>1.9311910280994264</v>
      </c>
      <c r="P23" s="98">
        <f>VLOOKUP(H23,TimeBasis!A:B,2,FALSE)*N23</f>
        <v>2.0482456496085939E-2</v>
      </c>
      <c r="Q23" s="127" t="str">
        <f t="shared" si="6"/>
        <v>x</v>
      </c>
      <c r="R23" s="99">
        <f t="shared" si="20"/>
        <v>7.7673327630208341E-3</v>
      </c>
      <c r="S23" s="99">
        <v>0</v>
      </c>
      <c r="T23" s="100">
        <f t="shared" si="21"/>
        <v>1.8513657407407405</v>
      </c>
      <c r="U23" s="101">
        <v>1.329861111111111E-2</v>
      </c>
      <c r="V23" s="101" t="s">
        <v>83</v>
      </c>
      <c r="W23" s="130">
        <f t="shared" si="22"/>
        <v>21</v>
      </c>
      <c r="X23" s="98" t="str">
        <f t="shared" si="7"/>
        <v>-10:21</v>
      </c>
      <c r="Y23" s="98" t="str">
        <f t="shared" si="23"/>
        <v>-125:18</v>
      </c>
      <c r="Z23" s="102">
        <f t="shared" si="8"/>
        <v>2.2999999999999998</v>
      </c>
      <c r="AA23" s="103">
        <f t="shared" si="9"/>
        <v>70</v>
      </c>
      <c r="AB23" s="102">
        <f>IF(E23&gt;0,Z23+AA23*Climbfaktor/1000,VLOOKUP($E23,CoursesBasis!B$3:K$28,9,FALSE))</f>
        <v>2.9299999999999997</v>
      </c>
      <c r="AC23" s="104">
        <f t="shared" si="24"/>
        <v>4.5387751232461131E-3</v>
      </c>
      <c r="AD23" s="104">
        <f t="shared" si="10"/>
        <v>3.6521345725447859E-3</v>
      </c>
      <c r="AE23" s="104" t="str">
        <f t="shared" si="11"/>
        <v>5:56 -</v>
      </c>
      <c r="AF23" s="91"/>
      <c r="AG23" s="148"/>
      <c r="AH23" s="149"/>
      <c r="AI23" s="149"/>
      <c r="AJ23" s="150"/>
      <c r="AK23" s="140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</row>
    <row r="24" spans="1:49" s="86" customFormat="1" ht="11.25" customHeight="1" x14ac:dyDescent="0.25">
      <c r="A24" s="92">
        <f t="shared" si="16"/>
        <v>21</v>
      </c>
      <c r="B24" s="93"/>
      <c r="C24" s="125"/>
      <c r="D24" s="92"/>
      <c r="E24" s="93"/>
      <c r="F24" s="94"/>
      <c r="G24" s="92" t="str">
        <f t="shared" si="17"/>
        <v/>
      </c>
      <c r="H24" s="92" t="str">
        <f t="shared" si="18"/>
        <v/>
      </c>
      <c r="I24" s="95" t="str">
        <f t="shared" si="2"/>
        <v/>
      </c>
      <c r="J24" s="92"/>
      <c r="K24" s="96">
        <f t="shared" si="3"/>
        <v>0</v>
      </c>
      <c r="L24" s="96">
        <f t="shared" si="4"/>
        <v>0</v>
      </c>
      <c r="M24" s="96">
        <f>IF(LEN(G24)&gt;0,VLOOKUP(O24-Parameters!$C$33,Zeit,2),0)</f>
        <v>0</v>
      </c>
      <c r="N24" s="76">
        <f t="shared" si="5"/>
        <v>0</v>
      </c>
      <c r="O24" s="97">
        <f t="shared" si="19"/>
        <v>1.9516734845955124</v>
      </c>
      <c r="P24" s="98" t="e">
        <f>VLOOKUP(H24,TimeBasis!A:B,2,FALSE)*N24</f>
        <v>#N/A</v>
      </c>
      <c r="Q24" s="127" t="e">
        <f t="shared" si="6"/>
        <v>#N/A</v>
      </c>
      <c r="R24" s="99" t="e">
        <f t="shared" si="20"/>
        <v>#N/A</v>
      </c>
      <c r="S24" s="99">
        <v>0</v>
      </c>
      <c r="T24" s="100">
        <f t="shared" si="21"/>
        <v>1.8646643518518515</v>
      </c>
      <c r="U24" s="101"/>
      <c r="V24" s="101"/>
      <c r="W24" s="130">
        <f t="shared" si="22"/>
        <v>21</v>
      </c>
      <c r="X24" s="98" t="str">
        <f t="shared" si="7"/>
        <v/>
      </c>
      <c r="Y24" s="98" t="str">
        <f t="shared" si="23"/>
        <v/>
      </c>
      <c r="Z24" s="102" t="e">
        <f t="shared" si="8"/>
        <v>#N/A</v>
      </c>
      <c r="AA24" s="103" t="e">
        <f t="shared" si="9"/>
        <v>#N/A</v>
      </c>
      <c r="AB24" s="102" t="e">
        <f>IF(E24&gt;0,Z24+AA24*Climbfaktor/1000,VLOOKUP($E24,CoursesBasis!B$3:K$28,9,FALSE))</f>
        <v>#N/A</v>
      </c>
      <c r="AC24" s="104" t="e">
        <f t="shared" si="24"/>
        <v>#N/A</v>
      </c>
      <c r="AD24" s="104" t="str">
        <f t="shared" si="10"/>
        <v/>
      </c>
      <c r="AE24" s="104" t="str">
        <f t="shared" si="11"/>
        <v/>
      </c>
      <c r="AF24" s="91"/>
    </row>
    <row r="25" spans="1:49" s="86" customFormat="1" ht="11.25" customHeight="1" x14ac:dyDescent="0.25">
      <c r="A25" s="92">
        <f t="shared" si="16"/>
        <v>21</v>
      </c>
      <c r="B25" s="93"/>
      <c r="C25" s="125"/>
      <c r="D25" s="92"/>
      <c r="E25" s="93"/>
      <c r="F25" s="94"/>
      <c r="G25" s="92" t="str">
        <f t="shared" si="17"/>
        <v/>
      </c>
      <c r="H25" s="92" t="str">
        <f t="shared" si="18"/>
        <v/>
      </c>
      <c r="I25" s="95" t="str">
        <f t="shared" si="2"/>
        <v/>
      </c>
      <c r="J25" s="92"/>
      <c r="K25" s="96">
        <f t="shared" si="3"/>
        <v>0</v>
      </c>
      <c r="L25" s="96">
        <f t="shared" si="4"/>
        <v>0</v>
      </c>
      <c r="M25" s="96">
        <f>IF(LEN(G25)&gt;0,VLOOKUP(O25-Parameters!$C$33,Zeit,2),0)</f>
        <v>0</v>
      </c>
      <c r="N25" s="76">
        <f t="shared" si="5"/>
        <v>0</v>
      </c>
      <c r="O25" s="97" t="e">
        <f t="shared" si="19"/>
        <v>#N/A</v>
      </c>
      <c r="P25" s="98" t="e">
        <f>VLOOKUP(H25,TimeBasis!A:B,2,FALSE)*N25</f>
        <v>#N/A</v>
      </c>
      <c r="Q25" s="127" t="e">
        <f t="shared" si="6"/>
        <v>#N/A</v>
      </c>
      <c r="R25" s="99" t="e">
        <f t="shared" si="20"/>
        <v>#N/A</v>
      </c>
      <c r="S25" s="99">
        <v>0</v>
      </c>
      <c r="T25" s="100">
        <f t="shared" si="21"/>
        <v>1.8646643518518515</v>
      </c>
      <c r="U25" s="101"/>
      <c r="V25" s="101"/>
      <c r="W25" s="130">
        <f t="shared" si="22"/>
        <v>21</v>
      </c>
      <c r="X25" s="98" t="str">
        <f t="shared" si="7"/>
        <v/>
      </c>
      <c r="Y25" s="98" t="str">
        <f t="shared" si="23"/>
        <v/>
      </c>
      <c r="Z25" s="102" t="e">
        <f t="shared" si="8"/>
        <v>#N/A</v>
      </c>
      <c r="AA25" s="103" t="e">
        <f t="shared" si="9"/>
        <v>#N/A</v>
      </c>
      <c r="AB25" s="102" t="e">
        <f>IF(E25&gt;0,Z25+AA25*Climbfaktor/1000,VLOOKUP($E25,CoursesBasis!B$3:K$28,9,FALSE))</f>
        <v>#N/A</v>
      </c>
      <c r="AC25" s="104" t="e">
        <f t="shared" si="24"/>
        <v>#N/A</v>
      </c>
      <c r="AD25" s="104" t="str">
        <f t="shared" si="10"/>
        <v/>
      </c>
      <c r="AE25" s="104" t="str">
        <f t="shared" si="11"/>
        <v/>
      </c>
      <c r="AF25" s="91"/>
      <c r="AG25" s="145" t="s">
        <v>18</v>
      </c>
      <c r="AH25" s="146"/>
      <c r="AI25" s="146"/>
      <c r="AJ25" s="147"/>
      <c r="AK25" s="139"/>
      <c r="AL25" s="131" t="s">
        <v>65</v>
      </c>
      <c r="AM25" s="131" t="s">
        <v>66</v>
      </c>
      <c r="AN25" s="84" t="s">
        <v>85</v>
      </c>
      <c r="AO25" s="108" t="s">
        <v>29</v>
      </c>
      <c r="AP25" s="84" t="s">
        <v>30</v>
      </c>
      <c r="AQ25" s="108" t="s">
        <v>33</v>
      </c>
      <c r="AR25" s="84" t="s">
        <v>128</v>
      </c>
      <c r="AS25" s="90" t="s">
        <v>39</v>
      </c>
      <c r="AT25" s="90" t="s">
        <v>125</v>
      </c>
      <c r="AU25" s="90" t="s">
        <v>126</v>
      </c>
      <c r="AV25" s="90" t="s">
        <v>40</v>
      </c>
    </row>
    <row r="26" spans="1:49" s="86" customFormat="1" ht="11.25" customHeight="1" x14ac:dyDescent="0.25">
      <c r="A26" s="92">
        <f t="shared" si="16"/>
        <v>21</v>
      </c>
      <c r="B26" s="93"/>
      <c r="C26" s="125"/>
      <c r="D26" s="92"/>
      <c r="E26" s="93"/>
      <c r="F26" s="94"/>
      <c r="G26" s="92" t="str">
        <f t="shared" si="17"/>
        <v/>
      </c>
      <c r="H26" s="92" t="str">
        <f t="shared" si="18"/>
        <v/>
      </c>
      <c r="I26" s="95" t="str">
        <f t="shared" si="2"/>
        <v/>
      </c>
      <c r="J26" s="92"/>
      <c r="K26" s="96">
        <f t="shared" si="3"/>
        <v>0</v>
      </c>
      <c r="L26" s="96">
        <f t="shared" si="4"/>
        <v>0</v>
      </c>
      <c r="M26" s="96">
        <f>IF(LEN(G26)&gt;0,VLOOKUP(O26-Parameters!$C$33,Zeit,2),0)</f>
        <v>0</v>
      </c>
      <c r="N26" s="76">
        <f t="shared" si="5"/>
        <v>0</v>
      </c>
      <c r="O26" s="97" t="e">
        <f t="shared" si="19"/>
        <v>#N/A</v>
      </c>
      <c r="P26" s="98" t="e">
        <f>VLOOKUP(H26,TimeBasis!A:B,2,FALSE)*N26</f>
        <v>#N/A</v>
      </c>
      <c r="Q26" s="127" t="e">
        <f t="shared" si="6"/>
        <v>#N/A</v>
      </c>
      <c r="R26" s="99" t="e">
        <f t="shared" si="20"/>
        <v>#N/A</v>
      </c>
      <c r="S26" s="99">
        <v>0</v>
      </c>
      <c r="T26" s="100">
        <f t="shared" si="21"/>
        <v>1.8646643518518515</v>
      </c>
      <c r="U26" s="101"/>
      <c r="V26" s="101"/>
      <c r="W26" s="130">
        <f t="shared" si="22"/>
        <v>21</v>
      </c>
      <c r="X26" s="98" t="str">
        <f t="shared" si="7"/>
        <v/>
      </c>
      <c r="Y26" s="98" t="str">
        <f t="shared" si="23"/>
        <v/>
      </c>
      <c r="Z26" s="102" t="e">
        <f t="shared" si="8"/>
        <v>#N/A</v>
      </c>
      <c r="AA26" s="103" t="e">
        <f t="shared" si="9"/>
        <v>#N/A</v>
      </c>
      <c r="AB26" s="102" t="e">
        <f>IF(E26&gt;0,Z26+AA26*Climbfaktor/1000,VLOOKUP($E26,CoursesBasis!B$3:K$28,9,FALSE))</f>
        <v>#N/A</v>
      </c>
      <c r="AC26" s="104" t="e">
        <f t="shared" si="24"/>
        <v>#N/A</v>
      </c>
      <c r="AD26" s="104" t="str">
        <f t="shared" si="10"/>
        <v/>
      </c>
      <c r="AE26" s="104" t="str">
        <f t="shared" si="11"/>
        <v/>
      </c>
      <c r="AF26" s="91"/>
      <c r="AG26" s="148" t="str">
        <f t="shared" ref="AG26:AG30" si="31">C3</f>
        <v>Baath, Ole</v>
      </c>
      <c r="AH26" s="149"/>
      <c r="AI26" s="149"/>
      <c r="AJ26" s="150"/>
      <c r="AK26" s="140" t="str">
        <f>D3</f>
        <v>OB</v>
      </c>
      <c r="AL26" s="136">
        <f>SUMIF(D:D,AK26,P:P)</f>
        <v>9.718887338860227E-2</v>
      </c>
      <c r="AM26" s="136">
        <f>SUMIF(D:D,AK26,U:U)</f>
        <v>9.1898148148148145E-2</v>
      </c>
      <c r="AN26" s="133" t="str">
        <f>IF(AM26&lt;AL26,"-","+")&amp;TEXT(ABS(AM26-AL26),"[m]:ss")</f>
        <v>-7:37</v>
      </c>
      <c r="AO26" s="110">
        <f>SUMIF($D:$D,$AK26,Z:Z)</f>
        <v>13.2</v>
      </c>
      <c r="AP26" s="106">
        <f t="shared" ref="AP26:AQ30" si="32">SUMIF($D:$D,$AK26,AA:AA)</f>
        <v>420</v>
      </c>
      <c r="AQ26" s="110">
        <f t="shared" si="32"/>
        <v>16.98</v>
      </c>
      <c r="AR26" s="107">
        <f>IF(AQ26&gt;0,AM26/AQ26,"")</f>
        <v>5.4121406447672641E-3</v>
      </c>
      <c r="AS26" s="107">
        <f>SUMIF(D:D,AK26,AD:AD)/AV26</f>
        <v>4.9459684994692995E-3</v>
      </c>
      <c r="AT26" s="107">
        <f>VLOOKUP(AG26,Parameters!D$4:F$9,3,FALSE)</f>
        <v>5.3819444444444453E-3</v>
      </c>
      <c r="AU26" s="138" t="str">
        <f>IF(AS26&lt;AT26,"-","+")&amp;TEXT(ABS(AT26-AS26),"[m]:ss")</f>
        <v>-0:38</v>
      </c>
      <c r="AV26" s="88">
        <f>COUNTIF(D:D,AK26)</f>
        <v>4</v>
      </c>
    </row>
    <row r="27" spans="1:49" s="86" customFormat="1" ht="11.25" customHeight="1" x14ac:dyDescent="0.25">
      <c r="A27" s="92">
        <f t="shared" si="16"/>
        <v>21</v>
      </c>
      <c r="B27" s="93"/>
      <c r="C27" s="125"/>
      <c r="D27" s="92"/>
      <c r="E27" s="93"/>
      <c r="F27" s="94"/>
      <c r="G27" s="92" t="str">
        <f t="shared" si="17"/>
        <v/>
      </c>
      <c r="H27" s="92" t="str">
        <f t="shared" si="18"/>
        <v/>
      </c>
      <c r="I27" s="95" t="str">
        <f t="shared" si="2"/>
        <v/>
      </c>
      <c r="J27" s="92"/>
      <c r="K27" s="96">
        <f t="shared" si="3"/>
        <v>0</v>
      </c>
      <c r="L27" s="96">
        <f t="shared" si="4"/>
        <v>0</v>
      </c>
      <c r="M27" s="96">
        <f>IF(LEN(G27)&gt;0,VLOOKUP(O27-Parameters!$C$33,Zeit,2),0)</f>
        <v>0</v>
      </c>
      <c r="N27" s="76">
        <f t="shared" si="5"/>
        <v>0</v>
      </c>
      <c r="O27" s="97" t="e">
        <f t="shared" si="19"/>
        <v>#N/A</v>
      </c>
      <c r="P27" s="98" t="e">
        <f>VLOOKUP(H27,TimeBasis!A:B,2,FALSE)*N27</f>
        <v>#N/A</v>
      </c>
      <c r="Q27" s="127" t="e">
        <f t="shared" si="6"/>
        <v>#N/A</v>
      </c>
      <c r="R27" s="99" t="e">
        <f t="shared" si="20"/>
        <v>#N/A</v>
      </c>
      <c r="S27" s="99">
        <v>0</v>
      </c>
      <c r="T27" s="100">
        <f t="shared" si="21"/>
        <v>1.8646643518518515</v>
      </c>
      <c r="U27" s="101"/>
      <c r="V27" s="101"/>
      <c r="W27" s="130">
        <f t="shared" si="22"/>
        <v>21</v>
      </c>
      <c r="X27" s="98" t="str">
        <f t="shared" si="7"/>
        <v/>
      </c>
      <c r="Y27" s="98" t="str">
        <f t="shared" si="23"/>
        <v/>
      </c>
      <c r="Z27" s="102" t="e">
        <f t="shared" si="8"/>
        <v>#N/A</v>
      </c>
      <c r="AA27" s="103" t="e">
        <f t="shared" si="9"/>
        <v>#N/A</v>
      </c>
      <c r="AB27" s="102" t="e">
        <f>IF(E27&gt;0,Z27+AA27*Climbfaktor/1000,VLOOKUP($E27,CoursesBasis!B$3:K$28,9,FALSE))</f>
        <v>#N/A</v>
      </c>
      <c r="AC27" s="104" t="e">
        <f t="shared" si="24"/>
        <v>#N/A</v>
      </c>
      <c r="AD27" s="104" t="str">
        <f t="shared" si="10"/>
        <v/>
      </c>
      <c r="AE27" s="104" t="str">
        <f t="shared" si="11"/>
        <v/>
      </c>
      <c r="AF27" s="91"/>
      <c r="AG27" s="148" t="str">
        <f t="shared" si="31"/>
        <v>Baath, Veikko</v>
      </c>
      <c r="AH27" s="149"/>
      <c r="AI27" s="149"/>
      <c r="AJ27" s="150"/>
      <c r="AK27" s="140" t="str">
        <f t="shared" ref="AK27:AK30" si="33">D4</f>
        <v>VB</v>
      </c>
      <c r="AL27" s="136">
        <f t="shared" ref="AL27:AL30" si="34">SUMIF(D:D,AK27,P:P)</f>
        <v>0.13231984455773144</v>
      </c>
      <c r="AM27" s="136">
        <f t="shared" ref="AM27:AM30" si="35">SUMIF(D:D,AK27,U:U)</f>
        <v>0.10545138888888889</v>
      </c>
      <c r="AN27" s="133" t="str">
        <f t="shared" ref="AN27:AN32" si="36">IF(AM27&lt;AL27,"-","+")&amp;TEXT(ABS(AM27-AL27),"[m]:ss")</f>
        <v>-38:41</v>
      </c>
      <c r="AO27" s="110">
        <f t="shared" ref="AO27:AO30" si="37">SUMIF($D:$D,$AK27,Z:Z)</f>
        <v>16.3</v>
      </c>
      <c r="AP27" s="106">
        <f t="shared" si="32"/>
        <v>445</v>
      </c>
      <c r="AQ27" s="110">
        <f t="shared" si="32"/>
        <v>20.305</v>
      </c>
      <c r="AR27" s="107">
        <f t="shared" ref="AR27:AR30" si="38">IF(AQ27&gt;0,AM27/AQ27,"")</f>
        <v>5.1933705436537254E-3</v>
      </c>
      <c r="AS27" s="107">
        <f t="shared" ref="AS27:AS30" si="39">SUMIF(D:D,AK27,AD:AD)/AV27</f>
        <v>4.7417631914624028E-3</v>
      </c>
      <c r="AT27" s="107">
        <f>VLOOKUP(AG27,Parameters!D$4:F$9,3,FALSE)</f>
        <v>6.2499999999999995E-3</v>
      </c>
      <c r="AU27" s="138" t="str">
        <f t="shared" ref="AU27:AU30" si="40">IF(AS27&lt;AT27,"-","+")&amp;TEXT(ABS(AT27-AS27),"[m]:ss")</f>
        <v>-2:10</v>
      </c>
      <c r="AV27" s="88">
        <f t="shared" ref="AV27:AV30" si="41">COUNTIF(D:D,AK27)</f>
        <v>5</v>
      </c>
    </row>
    <row r="28" spans="1:49" s="86" customFormat="1" ht="11.25" customHeight="1" x14ac:dyDescent="0.25">
      <c r="A28" s="92">
        <f t="shared" si="16"/>
        <v>21</v>
      </c>
      <c r="B28" s="93"/>
      <c r="C28" s="125"/>
      <c r="D28" s="92"/>
      <c r="E28" s="93"/>
      <c r="F28" s="94"/>
      <c r="G28" s="92" t="str">
        <f t="shared" si="17"/>
        <v/>
      </c>
      <c r="H28" s="92" t="str">
        <f t="shared" si="18"/>
        <v/>
      </c>
      <c r="I28" s="95" t="str">
        <f t="shared" si="2"/>
        <v/>
      </c>
      <c r="J28" s="92"/>
      <c r="K28" s="96">
        <f t="shared" si="3"/>
        <v>0</v>
      </c>
      <c r="L28" s="96">
        <f t="shared" si="4"/>
        <v>0</v>
      </c>
      <c r="M28" s="96">
        <f>IF(LEN(G28)&gt;0,VLOOKUP(O28-Parameters!$C$33,Zeit,2),0)</f>
        <v>0</v>
      </c>
      <c r="N28" s="76">
        <f t="shared" si="5"/>
        <v>0</v>
      </c>
      <c r="O28" s="97" t="e">
        <f t="shared" si="19"/>
        <v>#N/A</v>
      </c>
      <c r="P28" s="98" t="e">
        <f>VLOOKUP(H28,TimeBasis!A:B,2,FALSE)*N28</f>
        <v>#N/A</v>
      </c>
      <c r="Q28" s="127" t="e">
        <f t="shared" si="6"/>
        <v>#N/A</v>
      </c>
      <c r="R28" s="99" t="e">
        <f t="shared" si="20"/>
        <v>#N/A</v>
      </c>
      <c r="S28" s="99">
        <v>0</v>
      </c>
      <c r="T28" s="100">
        <f t="shared" si="21"/>
        <v>1.8646643518518515</v>
      </c>
      <c r="U28" s="101"/>
      <c r="V28" s="101"/>
      <c r="W28" s="130">
        <f t="shared" si="22"/>
        <v>21</v>
      </c>
      <c r="X28" s="98" t="str">
        <f t="shared" si="7"/>
        <v/>
      </c>
      <c r="Y28" s="98" t="str">
        <f t="shared" si="23"/>
        <v/>
      </c>
      <c r="Z28" s="102" t="e">
        <f t="shared" si="8"/>
        <v>#N/A</v>
      </c>
      <c r="AA28" s="103" t="e">
        <f t="shared" si="9"/>
        <v>#N/A</v>
      </c>
      <c r="AB28" s="102" t="e">
        <f>IF(E28&gt;0,Z28+AA28*Climbfaktor/1000,VLOOKUP($E28,CoursesBasis!B$3:K$28,9,FALSE))</f>
        <v>#N/A</v>
      </c>
      <c r="AC28" s="104" t="e">
        <f t="shared" si="24"/>
        <v>#N/A</v>
      </c>
      <c r="AD28" s="104" t="str">
        <f t="shared" si="10"/>
        <v/>
      </c>
      <c r="AE28" s="104" t="str">
        <f t="shared" si="11"/>
        <v/>
      </c>
      <c r="AF28" s="91"/>
      <c r="AG28" s="148" t="str">
        <f t="shared" si="31"/>
        <v>Hagen-Ritzentahler, Kristin</v>
      </c>
      <c r="AH28" s="149"/>
      <c r="AI28" s="149"/>
      <c r="AJ28" s="150"/>
      <c r="AK28" s="140" t="str">
        <f t="shared" si="33"/>
        <v>KHR</v>
      </c>
      <c r="AL28" s="136">
        <f t="shared" si="34"/>
        <v>0.1401309296614548</v>
      </c>
      <c r="AM28" s="136">
        <f t="shared" si="35"/>
        <v>0.12895833333333331</v>
      </c>
      <c r="AN28" s="133" t="str">
        <f t="shared" si="36"/>
        <v>-16:05</v>
      </c>
      <c r="AO28" s="110">
        <f t="shared" si="37"/>
        <v>20.700000000000003</v>
      </c>
      <c r="AP28" s="106">
        <f t="shared" si="32"/>
        <v>650</v>
      </c>
      <c r="AQ28" s="110">
        <f t="shared" si="32"/>
        <v>26.55</v>
      </c>
      <c r="AR28" s="107">
        <f t="shared" si="38"/>
        <v>4.8571876961707458E-3</v>
      </c>
      <c r="AS28" s="107">
        <f t="shared" si="39"/>
        <v>4.6443714558452153E-3</v>
      </c>
      <c r="AT28" s="107">
        <f>VLOOKUP(AG28,Parameters!D$4:F$9,3,FALSE)</f>
        <v>5.208333333333333E-3</v>
      </c>
      <c r="AU28" s="138" t="str">
        <f t="shared" si="40"/>
        <v>-0:49</v>
      </c>
      <c r="AV28" s="88">
        <f t="shared" si="41"/>
        <v>4</v>
      </c>
    </row>
    <row r="29" spans="1:49" s="86" customFormat="1" ht="11.25" customHeight="1" x14ac:dyDescent="0.25">
      <c r="A29" s="113"/>
      <c r="B29" s="113"/>
      <c r="C29" s="114"/>
      <c r="D29" s="113"/>
      <c r="E29" s="113"/>
      <c r="F29" s="115"/>
      <c r="G29" s="115"/>
      <c r="H29" s="113"/>
      <c r="I29" s="116"/>
      <c r="J29" s="113"/>
      <c r="K29" s="117"/>
      <c r="L29" s="117"/>
      <c r="M29" s="117"/>
      <c r="N29" s="117"/>
      <c r="O29" s="118"/>
      <c r="P29" s="119"/>
      <c r="Q29" s="128"/>
      <c r="R29" s="119"/>
      <c r="S29" s="120"/>
      <c r="T29" s="121"/>
      <c r="U29" s="119">
        <f>SUM(U3:U28)</f>
        <v>0.48966435185185192</v>
      </c>
      <c r="V29" s="119"/>
      <c r="W29" s="115"/>
      <c r="X29" s="119"/>
      <c r="Y29" s="119">
        <f>MAX(Y3:Y28)</f>
        <v>0</v>
      </c>
      <c r="Z29" s="122" t="e">
        <f>SUM(Z3:Z28)</f>
        <v>#N/A</v>
      </c>
      <c r="AA29" s="123" t="e">
        <f>SUM(AA3:AA28)</f>
        <v>#N/A</v>
      </c>
      <c r="AB29" s="122" t="e">
        <f>AVERAGE(AB3:AB28)</f>
        <v>#N/A</v>
      </c>
      <c r="AC29" s="124"/>
      <c r="AD29" s="124"/>
      <c r="AE29" s="124"/>
      <c r="AF29" s="91"/>
      <c r="AG29" s="148" t="str">
        <f t="shared" si="31"/>
        <v>Lorenz-Baath, Katrin</v>
      </c>
      <c r="AH29" s="149"/>
      <c r="AI29" s="149"/>
      <c r="AJ29" s="150"/>
      <c r="AK29" s="140" t="str">
        <f t="shared" si="33"/>
        <v>KLB</v>
      </c>
      <c r="AL29" s="136">
        <f t="shared" si="34"/>
        <v>0.11938680763159351</v>
      </c>
      <c r="AM29" s="136">
        <f t="shared" si="35"/>
        <v>9.7210648148148143E-2</v>
      </c>
      <c r="AN29" s="133" t="str">
        <f t="shared" si="36"/>
        <v>-31:56</v>
      </c>
      <c r="AO29" s="110">
        <f t="shared" si="37"/>
        <v>13.5</v>
      </c>
      <c r="AP29" s="106">
        <f t="shared" si="32"/>
        <v>465</v>
      </c>
      <c r="AQ29" s="110">
        <f t="shared" si="32"/>
        <v>17.685000000000002</v>
      </c>
      <c r="AR29" s="107">
        <f t="shared" si="38"/>
        <v>5.4967853066524245E-3</v>
      </c>
      <c r="AS29" s="107">
        <f t="shared" si="39"/>
        <v>4.9173397905518191E-3</v>
      </c>
      <c r="AT29" s="107">
        <f>VLOOKUP(AG29,Parameters!D$4:F$9,3,FALSE)</f>
        <v>6.076388888888889E-3</v>
      </c>
      <c r="AU29" s="138" t="str">
        <f t="shared" si="40"/>
        <v>-1:40</v>
      </c>
      <c r="AV29" s="88">
        <f t="shared" si="41"/>
        <v>4</v>
      </c>
    </row>
    <row r="30" spans="1:49" s="86" customFormat="1" ht="11.25" customHeight="1" x14ac:dyDescent="0.25">
      <c r="A30" s="45"/>
      <c r="B30" s="45"/>
      <c r="C30" s="46"/>
      <c r="D30" s="45"/>
      <c r="E30" s="45"/>
      <c r="F30" s="68"/>
      <c r="G30" s="68"/>
      <c r="H30" s="45"/>
      <c r="I30" s="70"/>
      <c r="J30" s="45"/>
      <c r="K30" s="47"/>
      <c r="L30" s="47"/>
      <c r="M30" s="47"/>
      <c r="N30" s="47"/>
      <c r="O30" s="48"/>
      <c r="P30" s="44"/>
      <c r="Q30" s="129"/>
      <c r="R30" s="44"/>
      <c r="S30" s="49"/>
      <c r="T30" s="50"/>
      <c r="U30" s="44"/>
      <c r="V30" s="44"/>
      <c r="W30" s="68"/>
      <c r="X30" s="44"/>
      <c r="Y30" s="44"/>
      <c r="Z30" s="47"/>
      <c r="AA30" s="51"/>
      <c r="AB30" s="69"/>
      <c r="AC30" s="49"/>
      <c r="AD30" s="49"/>
      <c r="AE30" s="49"/>
      <c r="AF30" s="91"/>
      <c r="AG30" s="148" t="str">
        <f t="shared" si="31"/>
        <v>Lexen, Gert</v>
      </c>
      <c r="AH30" s="149"/>
      <c r="AI30" s="149"/>
      <c r="AJ30" s="150"/>
      <c r="AK30" s="140" t="str">
        <f t="shared" si="33"/>
        <v>GL</v>
      </c>
      <c r="AL30" s="136">
        <f t="shared" si="34"/>
        <v>8.7647029356130696E-2</v>
      </c>
      <c r="AM30" s="136">
        <f t="shared" si="35"/>
        <v>6.614583333333332E-2</v>
      </c>
      <c r="AN30" s="133" t="str">
        <f t="shared" si="36"/>
        <v>-30:58</v>
      </c>
      <c r="AO30" s="110">
        <f t="shared" si="37"/>
        <v>9.1</v>
      </c>
      <c r="AP30" s="106">
        <f t="shared" si="32"/>
        <v>365</v>
      </c>
      <c r="AQ30" s="110">
        <f t="shared" si="32"/>
        <v>12.385</v>
      </c>
      <c r="AR30" s="107">
        <f t="shared" si="38"/>
        <v>5.3408020454851291E-3</v>
      </c>
      <c r="AS30" s="107">
        <f t="shared" si="39"/>
        <v>4.9101803809236746E-3</v>
      </c>
      <c r="AT30" s="107">
        <f>VLOOKUP(AG30,Parameters!D$4:F$9,3,FALSE)</f>
        <v>6.2499999999999995E-3</v>
      </c>
      <c r="AU30" s="138" t="str">
        <f t="shared" si="40"/>
        <v>-1:56</v>
      </c>
      <c r="AV30" s="88">
        <f t="shared" si="41"/>
        <v>4</v>
      </c>
    </row>
    <row r="31" spans="1:49" s="86" customFormat="1" ht="11.25" hidden="1" customHeight="1" x14ac:dyDescent="0.25">
      <c r="A31" s="45"/>
      <c r="B31" s="45"/>
      <c r="C31" s="46"/>
      <c r="D31" s="45"/>
      <c r="E31" s="45"/>
      <c r="F31" s="68"/>
      <c r="G31" s="68"/>
      <c r="H31" s="45"/>
      <c r="I31" s="70"/>
      <c r="J31" s="45"/>
      <c r="K31" s="47"/>
      <c r="L31" s="47"/>
      <c r="M31" s="47"/>
      <c r="N31" s="47"/>
      <c r="O31" s="48"/>
      <c r="P31" s="44"/>
      <c r="Q31" s="129"/>
      <c r="R31" s="44"/>
      <c r="S31" s="49"/>
      <c r="T31" s="50"/>
      <c r="U31" s="44"/>
      <c r="V31" s="44"/>
      <c r="W31" s="68"/>
      <c r="X31" s="44"/>
      <c r="Y31" s="44"/>
      <c r="Z31" s="47"/>
      <c r="AA31" s="51"/>
      <c r="AB31" s="69"/>
      <c r="AC31" s="49"/>
      <c r="AD31" s="49"/>
      <c r="AE31" s="49"/>
      <c r="AF31" s="91"/>
      <c r="AG31" s="148"/>
      <c r="AH31" s="149"/>
      <c r="AI31" s="149"/>
      <c r="AJ31" s="150"/>
      <c r="AK31" s="140"/>
      <c r="AL31" s="136"/>
      <c r="AM31" s="136"/>
      <c r="AN31" s="133"/>
      <c r="AO31" s="110"/>
      <c r="AP31" s="106"/>
      <c r="AQ31" s="110"/>
      <c r="AR31" s="107"/>
      <c r="AS31" s="107"/>
      <c r="AT31" s="107"/>
      <c r="AU31" s="138"/>
      <c r="AV31" s="88"/>
    </row>
    <row r="32" spans="1:49" s="86" customFormat="1" ht="11.25" customHeight="1" x14ac:dyDescent="0.25">
      <c r="A32" s="45"/>
      <c r="B32" s="45"/>
      <c r="C32" s="46"/>
      <c r="D32" s="45"/>
      <c r="E32" s="45"/>
      <c r="F32" s="68"/>
      <c r="G32" s="68"/>
      <c r="H32" s="45"/>
      <c r="I32" s="70"/>
      <c r="J32" s="45"/>
      <c r="K32" s="47"/>
      <c r="L32" s="47"/>
      <c r="M32" s="47"/>
      <c r="N32" s="47"/>
      <c r="O32" s="48"/>
      <c r="P32" s="44"/>
      <c r="Q32" s="129"/>
      <c r="R32" s="44"/>
      <c r="S32" s="49"/>
      <c r="T32" s="50"/>
      <c r="U32" s="44"/>
      <c r="V32" s="44"/>
      <c r="W32" s="68"/>
      <c r="X32" s="44"/>
      <c r="Y32" s="44"/>
      <c r="Z32" s="47"/>
      <c r="AA32" s="51"/>
      <c r="AB32" s="69"/>
      <c r="AC32" s="49"/>
      <c r="AD32" s="49"/>
      <c r="AE32" s="49"/>
      <c r="AF32" s="91"/>
      <c r="AG32" s="151" t="s">
        <v>127</v>
      </c>
      <c r="AH32" s="152"/>
      <c r="AI32" s="152"/>
      <c r="AJ32" s="152"/>
      <c r="AK32" s="153"/>
      <c r="AL32" s="137">
        <f>SUM(AL26:AL31)+SUM(S:S)</f>
        <v>0.57667348459551271</v>
      </c>
      <c r="AM32" s="137">
        <f>SUM(AM26:AM31)+SUM(S:S)</f>
        <v>0.48966435185185186</v>
      </c>
      <c r="AN32" s="134" t="str">
        <f t="shared" si="36"/>
        <v>-125:18</v>
      </c>
      <c r="AO32" s="108">
        <f>SUM(AO26:AO31)</f>
        <v>72.8</v>
      </c>
      <c r="AP32" s="109">
        <f t="shared" ref="AP32:AQ32" si="42">SUM(AP26:AP31)</f>
        <v>2345</v>
      </c>
      <c r="AQ32" s="108">
        <f t="shared" si="42"/>
        <v>93.905000000000001</v>
      </c>
      <c r="AR32" s="111">
        <f>AVERAGE(AR26:AR31)</f>
        <v>5.2600572473458576E-3</v>
      </c>
      <c r="AS32" s="111">
        <f>AVERAGE(AS26:AS31)</f>
        <v>4.8319246636504823E-3</v>
      </c>
      <c r="AT32" s="111">
        <f t="shared" ref="AT32" si="43">AVERAGE(AT26:AT31)</f>
        <v>5.8333333333333327E-3</v>
      </c>
      <c r="AU32" s="111"/>
      <c r="AV32" s="131">
        <f t="shared" ref="AV32" si="44">SUM(AV26:AV31)</f>
        <v>21</v>
      </c>
    </row>
    <row r="33" spans="1:48" s="86" customFormat="1" ht="11.25" customHeight="1" x14ac:dyDescent="0.25">
      <c r="A33" s="45"/>
      <c r="B33" s="45"/>
      <c r="C33" s="46"/>
      <c r="D33" s="45"/>
      <c r="E33" s="45"/>
      <c r="F33" s="68"/>
      <c r="G33" s="68"/>
      <c r="H33" s="45"/>
      <c r="I33" s="70"/>
      <c r="J33" s="45"/>
      <c r="K33" s="47"/>
      <c r="L33" s="47"/>
      <c r="M33" s="47"/>
      <c r="N33" s="47"/>
      <c r="O33" s="48"/>
      <c r="P33" s="44"/>
      <c r="Q33" s="129"/>
      <c r="R33" s="44"/>
      <c r="S33" s="49"/>
      <c r="T33" s="50"/>
      <c r="U33" s="44"/>
      <c r="V33" s="44"/>
      <c r="W33" s="68"/>
      <c r="X33" s="44"/>
      <c r="Y33" s="44"/>
      <c r="Z33" s="47"/>
      <c r="AA33" s="51"/>
      <c r="AB33" s="69"/>
      <c r="AC33" s="49"/>
      <c r="AD33" s="49"/>
      <c r="AE33" s="49"/>
      <c r="AF33" s="91"/>
    </row>
    <row r="34" spans="1:48" s="86" customFormat="1" ht="11.25" customHeight="1" x14ac:dyDescent="0.25">
      <c r="A34" s="45"/>
      <c r="B34" s="45"/>
      <c r="C34" s="46"/>
      <c r="D34" s="45"/>
      <c r="E34" s="45"/>
      <c r="F34" s="68"/>
      <c r="G34" s="68"/>
      <c r="H34" s="45"/>
      <c r="I34" s="70"/>
      <c r="J34" s="45"/>
      <c r="K34" s="47"/>
      <c r="L34" s="47"/>
      <c r="M34" s="47"/>
      <c r="N34" s="47"/>
      <c r="O34" s="48"/>
      <c r="P34" s="44"/>
      <c r="Q34" s="129"/>
      <c r="R34" s="44"/>
      <c r="S34" s="49"/>
      <c r="T34" s="50"/>
      <c r="U34" s="44"/>
      <c r="V34" s="44"/>
      <c r="W34" s="68"/>
      <c r="X34" s="44"/>
      <c r="Y34" s="44"/>
      <c r="Z34" s="47"/>
      <c r="AA34" s="51"/>
      <c r="AB34" s="69"/>
      <c r="AC34" s="49"/>
      <c r="AD34" s="49"/>
      <c r="AE34" s="49"/>
      <c r="AF34" s="91"/>
      <c r="AG34" s="145" t="s">
        <v>25</v>
      </c>
      <c r="AH34" s="146"/>
      <c r="AI34" s="146"/>
      <c r="AJ34" s="147"/>
      <c r="AK34" s="105">
        <f>Startzeit</f>
        <v>1.375</v>
      </c>
    </row>
    <row r="35" spans="1:48" s="86" customFormat="1" ht="11.25" customHeight="1" x14ac:dyDescent="0.25">
      <c r="A35" s="45"/>
      <c r="B35" s="45"/>
      <c r="C35" s="46"/>
      <c r="D35" s="45"/>
      <c r="E35" s="45"/>
      <c r="F35" s="68"/>
      <c r="G35" s="68"/>
      <c r="H35" s="45"/>
      <c r="I35" s="70"/>
      <c r="J35" s="45"/>
      <c r="K35" s="47"/>
      <c r="L35" s="47"/>
      <c r="M35" s="47"/>
      <c r="N35" s="47"/>
      <c r="O35" s="48"/>
      <c r="P35" s="44"/>
      <c r="Q35" s="129"/>
      <c r="R35" s="44"/>
      <c r="S35" s="49"/>
      <c r="T35" s="50"/>
      <c r="U35" s="44"/>
      <c r="V35" s="44"/>
      <c r="W35" s="68"/>
      <c r="X35" s="44"/>
      <c r="Y35" s="44"/>
      <c r="Z35" s="47"/>
      <c r="AA35" s="51"/>
      <c r="AB35" s="69"/>
      <c r="AC35" s="49"/>
      <c r="AD35" s="49"/>
      <c r="AE35" s="49"/>
      <c r="AF35" s="91"/>
      <c r="AG35" s="145" t="s">
        <v>61</v>
      </c>
      <c r="AH35" s="146"/>
      <c r="AI35" s="146"/>
      <c r="AJ35" s="147"/>
      <c r="AK35" s="105">
        <f>Dämmerungszeit</f>
        <v>1.875</v>
      </c>
    </row>
    <row r="36" spans="1:48" s="86" customFormat="1" ht="11.25" customHeight="1" x14ac:dyDescent="0.25">
      <c r="A36" s="45"/>
      <c r="B36" s="45"/>
      <c r="C36" s="46"/>
      <c r="D36" s="45"/>
      <c r="E36" s="45"/>
      <c r="F36" s="68"/>
      <c r="G36" s="68"/>
      <c r="H36" s="45"/>
      <c r="I36" s="70"/>
      <c r="J36" s="45"/>
      <c r="K36" s="47"/>
      <c r="L36" s="47"/>
      <c r="M36" s="47"/>
      <c r="N36" s="47"/>
      <c r="O36" s="48"/>
      <c r="P36" s="44"/>
      <c r="Q36" s="129"/>
      <c r="R36" s="44"/>
      <c r="S36" s="49"/>
      <c r="T36" s="50"/>
      <c r="U36" s="44"/>
      <c r="V36" s="44"/>
      <c r="W36" s="68"/>
      <c r="X36" s="44"/>
      <c r="Y36" s="44"/>
      <c r="Z36" s="47"/>
      <c r="AA36" s="51"/>
      <c r="AB36" s="69"/>
      <c r="AC36" s="49"/>
      <c r="AD36" s="49"/>
      <c r="AE36" s="49"/>
      <c r="AF36" s="91"/>
      <c r="AG36" s="145" t="s">
        <v>62</v>
      </c>
      <c r="AH36" s="146"/>
      <c r="AI36" s="146"/>
      <c r="AJ36" s="147"/>
      <c r="AK36" s="105">
        <f>Zielzeit</f>
        <v>1.875</v>
      </c>
    </row>
    <row r="37" spans="1:48" s="86" customFormat="1" ht="11.25" customHeight="1" x14ac:dyDescent="0.25">
      <c r="A37" s="45"/>
      <c r="B37" s="45"/>
      <c r="C37" s="46"/>
      <c r="D37" s="45"/>
      <c r="E37" s="45"/>
      <c r="F37" s="68"/>
      <c r="G37" s="68"/>
      <c r="H37" s="45"/>
      <c r="I37" s="70"/>
      <c r="J37" s="45"/>
      <c r="K37" s="47"/>
      <c r="L37" s="47"/>
      <c r="M37" s="47"/>
      <c r="N37" s="47"/>
      <c r="O37" s="48"/>
      <c r="P37" s="44"/>
      <c r="Q37" s="129"/>
      <c r="R37" s="44"/>
      <c r="S37" s="49"/>
      <c r="T37" s="50"/>
      <c r="U37" s="44"/>
      <c r="V37" s="44"/>
      <c r="W37" s="68"/>
      <c r="X37" s="44"/>
      <c r="Y37" s="44"/>
      <c r="Z37" s="47"/>
      <c r="AA37" s="51"/>
      <c r="AB37" s="69"/>
      <c r="AC37" s="49"/>
      <c r="AD37" s="49"/>
      <c r="AE37" s="49"/>
      <c r="AF37" s="91"/>
      <c r="AG37" s="85"/>
      <c r="AH37" s="85"/>
      <c r="AI37" s="85"/>
    </row>
    <row r="38" spans="1:48" s="86" customFormat="1" ht="11.25" customHeight="1" x14ac:dyDescent="0.25">
      <c r="A38" s="45"/>
      <c r="B38" s="45"/>
      <c r="C38" s="46"/>
      <c r="D38" s="45"/>
      <c r="E38" s="45"/>
      <c r="F38" s="68"/>
      <c r="G38" s="68"/>
      <c r="H38" s="45"/>
      <c r="I38" s="70"/>
      <c r="J38" s="45"/>
      <c r="K38" s="47"/>
      <c r="L38" s="47"/>
      <c r="M38" s="47"/>
      <c r="N38" s="47"/>
      <c r="O38" s="48"/>
      <c r="P38" s="44"/>
      <c r="Q38" s="129"/>
      <c r="R38" s="44"/>
      <c r="S38" s="49"/>
      <c r="T38" s="50"/>
      <c r="U38" s="44"/>
      <c r="V38" s="44"/>
      <c r="W38" s="68"/>
      <c r="X38" s="44"/>
      <c r="Y38" s="44"/>
      <c r="Z38" s="47"/>
      <c r="AA38" s="51"/>
      <c r="AB38" s="69"/>
      <c r="AC38" s="49"/>
      <c r="AD38" s="49"/>
      <c r="AE38" s="49"/>
      <c r="AF38" s="91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s="86" customFormat="1" ht="11.25" customHeight="1" x14ac:dyDescent="0.25">
      <c r="A39" s="45"/>
      <c r="B39" s="45"/>
      <c r="C39" s="46"/>
      <c r="D39" s="45"/>
      <c r="E39" s="45"/>
      <c r="F39" s="68"/>
      <c r="G39" s="68"/>
      <c r="H39" s="45"/>
      <c r="I39" s="70"/>
      <c r="J39" s="45"/>
      <c r="K39" s="47"/>
      <c r="L39" s="47"/>
      <c r="M39" s="47"/>
      <c r="N39" s="47"/>
      <c r="O39" s="48"/>
      <c r="P39" s="44"/>
      <c r="Q39" s="129"/>
      <c r="R39" s="44"/>
      <c r="S39" s="49"/>
      <c r="T39" s="50"/>
      <c r="U39" s="44"/>
      <c r="V39" s="44"/>
      <c r="W39" s="68"/>
      <c r="X39" s="44"/>
      <c r="Y39" s="44"/>
      <c r="Z39" s="47"/>
      <c r="AA39" s="51"/>
      <c r="AB39" s="69"/>
      <c r="AC39" s="49"/>
      <c r="AD39" s="49"/>
      <c r="AE39" s="49"/>
      <c r="AF39" s="91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s="86" customFormat="1" ht="11.25" customHeight="1" x14ac:dyDescent="0.25">
      <c r="A40" s="45"/>
      <c r="B40" s="45"/>
      <c r="C40" s="46"/>
      <c r="D40" s="45"/>
      <c r="E40" s="45"/>
      <c r="F40" s="68"/>
      <c r="G40" s="68"/>
      <c r="H40" s="45"/>
      <c r="I40" s="70"/>
      <c r="J40" s="45"/>
      <c r="K40" s="47"/>
      <c r="L40" s="47"/>
      <c r="M40" s="47"/>
      <c r="N40" s="47"/>
      <c r="O40" s="48"/>
      <c r="P40" s="44"/>
      <c r="Q40" s="129"/>
      <c r="R40" s="44"/>
      <c r="S40" s="49"/>
      <c r="T40" s="50"/>
      <c r="U40" s="44"/>
      <c r="V40" s="44"/>
      <c r="W40" s="68"/>
      <c r="X40" s="44"/>
      <c r="Y40" s="44"/>
      <c r="Z40" s="47"/>
      <c r="AA40" s="51"/>
      <c r="AB40" s="69"/>
      <c r="AC40" s="49"/>
      <c r="AD40" s="49"/>
      <c r="AE40" s="49"/>
      <c r="AF40" s="91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s="86" customFormat="1" ht="11.25" customHeight="1" x14ac:dyDescent="0.25">
      <c r="A41" s="45"/>
      <c r="B41" s="45"/>
      <c r="C41" s="46"/>
      <c r="D41" s="45"/>
      <c r="E41" s="45"/>
      <c r="F41" s="68"/>
      <c r="G41" s="68"/>
      <c r="H41" s="45"/>
      <c r="I41" s="70"/>
      <c r="J41" s="45"/>
      <c r="K41" s="47"/>
      <c r="L41" s="47"/>
      <c r="M41" s="47"/>
      <c r="N41" s="47"/>
      <c r="O41" s="48"/>
      <c r="P41" s="44"/>
      <c r="Q41" s="129"/>
      <c r="R41" s="44"/>
      <c r="S41" s="49"/>
      <c r="T41" s="50"/>
      <c r="U41" s="44"/>
      <c r="V41" s="44"/>
      <c r="W41" s="68"/>
      <c r="X41" s="44"/>
      <c r="Y41" s="44"/>
      <c r="Z41" s="47"/>
      <c r="AA41" s="51"/>
      <c r="AB41" s="69"/>
      <c r="AC41" s="49"/>
      <c r="AD41" s="49"/>
      <c r="AE41" s="49"/>
      <c r="AF41" s="119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</sheetData>
  <mergeCells count="25">
    <mergeCell ref="A1:D1"/>
    <mergeCell ref="O1:S1"/>
    <mergeCell ref="E1:I1"/>
    <mergeCell ref="T1:AB1"/>
    <mergeCell ref="AG27:AJ27"/>
    <mergeCell ref="AG28:AJ28"/>
    <mergeCell ref="AG29:AJ29"/>
    <mergeCell ref="K1:N1"/>
    <mergeCell ref="AC1:AE1"/>
    <mergeCell ref="AG21:AJ21"/>
    <mergeCell ref="AG22:AJ22"/>
    <mergeCell ref="AG23:AJ23"/>
    <mergeCell ref="AG25:AJ25"/>
    <mergeCell ref="AG26:AJ26"/>
    <mergeCell ref="AG2:AH2"/>
    <mergeCell ref="AG17:AJ17"/>
    <mergeCell ref="AG18:AJ18"/>
    <mergeCell ref="AG19:AJ19"/>
    <mergeCell ref="AG20:AJ20"/>
    <mergeCell ref="AG36:AJ36"/>
    <mergeCell ref="AG30:AJ30"/>
    <mergeCell ref="AG31:AJ31"/>
    <mergeCell ref="AG34:AJ34"/>
    <mergeCell ref="AG35:AJ35"/>
    <mergeCell ref="AG32:AK32"/>
  </mergeCells>
  <phoneticPr fontId="1" type="noConversion"/>
  <conditionalFormatting sqref="E4:F28 B3:B28 X3:Y28 O3:S28">
    <cfRule type="expression" dxfId="9" priority="45" stopIfTrue="1">
      <formula>OR(AND($O2&lt;Twilight,$O3&gt;=Twilight),AND($O1&lt;Twilight,$O2&gt;=Twilight))</formula>
    </cfRule>
  </conditionalFormatting>
  <conditionalFormatting sqref="U9:U23 U24:V27 N9:Q27 J9:J27 AC9:AD27 E9:F27 O3:S27 B3:D27 X3:Y27 S4:S28">
    <cfRule type="expression" dxfId="8" priority="46" stopIfTrue="1">
      <formula>$T4&gt;Endzeit</formula>
    </cfRule>
  </conditionalFormatting>
  <conditionalFormatting sqref="P17:Q17">
    <cfRule type="expression" dxfId="7" priority="34" stopIfTrue="1">
      <formula>OR(AND($O16&lt;Twilight,$O17&gt;=Twilight),AND($O15&lt;Twilight,$O16&gt;=Twilight))</formula>
    </cfRule>
  </conditionalFormatting>
  <conditionalFormatting sqref="AC3:AC28">
    <cfRule type="cellIs" dxfId="6" priority="53" stopIfTrue="1" operator="greaterThan">
      <formula>#REF!</formula>
    </cfRule>
    <cfRule type="cellIs" dxfId="5" priority="54" stopIfTrue="1" operator="lessThanOrEqual">
      <formula>$AB3</formula>
    </cfRule>
  </conditionalFormatting>
  <conditionalFormatting sqref="AJ4:AJ1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14">
    <cfRule type="colorScale" priority="19">
      <colorScale>
        <cfvo type="num" val="-3"/>
        <cfvo type="num" val="0"/>
        <cfvo type="num" val="3"/>
        <color rgb="FF63BE7B"/>
        <color rgb="FFFFEB84"/>
        <color rgb="FFF8696B"/>
      </colorScale>
    </cfRule>
  </conditionalFormatting>
  <conditionalFormatting sqref="AK3:AT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28">
    <cfRule type="expression" dxfId="4" priority="15">
      <formula>$Q3="x"</formula>
    </cfRule>
    <cfRule type="expression" dxfId="3" priority="16" stopIfTrue="1">
      <formula>OR(AND($O2&lt;Twilight,$O3&gt;=Twilight),AND($O1&lt;Twilight,$O2&gt;=Twilight))</formula>
    </cfRule>
  </conditionalFormatting>
  <conditionalFormatting sqref="Y17">
    <cfRule type="expression" dxfId="2" priority="11" stopIfTrue="1">
      <formula>OR(AND($O16&lt;Twilight,$O17&gt;=Twilight),AND($O15&lt;Twilight,$O16&gt;=Twilight))</formula>
    </cfRule>
  </conditionalFormatting>
  <conditionalFormatting sqref="O29 S29:T29">
    <cfRule type="expression" dxfId="1" priority="56" stopIfTrue="1">
      <formula>OR(AND(#REF!&lt;Twilight,$O29&gt;=Twilight),AND(#REF!&lt;Twilight,#REF!&gt;=Twilight))</formula>
    </cfRule>
  </conditionalFormatting>
  <conditionalFormatting sqref="U28:V28 J28 AC28:AD28 N28:S28 B28:F28 X28:Y28">
    <cfRule type="expression" dxfId="0" priority="61" stopIfTrue="1">
      <formula>#REF!&gt;Endzeit</formula>
    </cfRule>
  </conditionalFormatting>
  <conditionalFormatting sqref="AE3:AE2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19685039370078741" right="0.19685039370078741" top="0.47244094488188981" bottom="0.27559055118110237" header="0.23622047244094491" footer="0.15748031496062992"/>
  <pageSetup paperSize="9" scale="150" fitToWidth="0" orientation="landscape" r:id="rId1"/>
  <headerFooter alignWithMargins="0">
    <oddHeader>&amp;L&amp;8 24-h-OL am 01.06.2019&amp;C&amp;"Arial,Fett"&amp;14 Team  266: 's passt scho&amp;R&amp;8Trockenborn-Wolfersdorf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I5" sqref="I5"/>
    </sheetView>
  </sheetViews>
  <sheetFormatPr baseColWidth="10" defaultColWidth="9.109375" defaultRowHeight="13.2" x14ac:dyDescent="0.25"/>
  <cols>
    <col min="1" max="1" width="18.88671875" bestFit="1" customWidth="1"/>
    <col min="2" max="2" width="5.6640625" bestFit="1" customWidth="1"/>
    <col min="3" max="3" width="3" bestFit="1" customWidth="1"/>
    <col min="4" max="4" width="13.5546875" bestFit="1" customWidth="1"/>
    <col min="5" max="5" width="1.109375" customWidth="1"/>
    <col min="6" max="6" width="5.6640625" bestFit="1" customWidth="1"/>
    <col min="7" max="7" width="5.5546875" bestFit="1" customWidth="1"/>
    <col min="8" max="8" width="6.109375" bestFit="1" customWidth="1"/>
    <col min="9" max="9" width="6" bestFit="1" customWidth="1"/>
    <col min="10" max="10" width="6.5546875" bestFit="1" customWidth="1"/>
    <col min="11" max="11" width="7.5546875" bestFit="1" customWidth="1"/>
    <col min="12" max="12" width="1" customWidth="1"/>
    <col min="13" max="18" width="7.109375" bestFit="1" customWidth="1"/>
  </cols>
  <sheetData>
    <row r="1" spans="1:18" ht="15.6" x14ac:dyDescent="0.3">
      <c r="A1" s="3"/>
      <c r="B1" s="3"/>
      <c r="C1" s="3"/>
      <c r="D1" s="3"/>
      <c r="E1" s="7"/>
      <c r="F1" s="3"/>
      <c r="G1" s="3"/>
      <c r="H1" s="3"/>
      <c r="I1" s="3"/>
      <c r="J1" s="3"/>
      <c r="K1" s="3"/>
      <c r="L1" s="7"/>
      <c r="M1" s="165" t="s">
        <v>47</v>
      </c>
      <c r="N1" s="166"/>
      <c r="O1" s="166"/>
      <c r="P1" s="166"/>
      <c r="Q1" s="166"/>
      <c r="R1" s="167"/>
    </row>
    <row r="2" spans="1:18" x14ac:dyDescent="0.25">
      <c r="A2" s="1" t="s">
        <v>17</v>
      </c>
      <c r="B2" s="1" t="s">
        <v>71</v>
      </c>
      <c r="C2" s="1" t="s">
        <v>16</v>
      </c>
      <c r="D2" s="1" t="s">
        <v>20</v>
      </c>
      <c r="E2" s="11"/>
      <c r="F2" s="1" t="s">
        <v>19</v>
      </c>
      <c r="G2" s="1" t="s">
        <v>43</v>
      </c>
      <c r="H2" s="1" t="s">
        <v>42</v>
      </c>
      <c r="I2" s="1" t="s">
        <v>6</v>
      </c>
      <c r="J2" s="1" t="s">
        <v>7</v>
      </c>
      <c r="K2" s="1" t="s">
        <v>33</v>
      </c>
      <c r="L2" s="11"/>
      <c r="M2" s="1" t="str">
        <f>Parameters!D13</f>
        <v>OB</v>
      </c>
      <c r="N2" s="1" t="str">
        <f>Parameters!E13</f>
        <v>VB</v>
      </c>
      <c r="O2" s="1" t="str">
        <f>Parameters!F13</f>
        <v>KHR</v>
      </c>
      <c r="P2" s="1" t="str">
        <f>Parameters!G13</f>
        <v>KLB</v>
      </c>
      <c r="Q2" s="1" t="str">
        <f>Parameters!H13</f>
        <v>GL</v>
      </c>
      <c r="R2" s="1" t="str">
        <f>Parameters!I13</f>
        <v>L6</v>
      </c>
    </row>
    <row r="3" spans="1:18" x14ac:dyDescent="0.25">
      <c r="A3" s="1" t="s">
        <v>93</v>
      </c>
      <c r="B3" s="1" t="s">
        <v>95</v>
      </c>
      <c r="C3" s="38">
        <v>6</v>
      </c>
      <c r="D3" s="2" t="s">
        <v>13</v>
      </c>
      <c r="E3" s="7"/>
      <c r="F3" s="1" t="s">
        <v>93</v>
      </c>
      <c r="G3" s="58">
        <v>4.9000000000000004</v>
      </c>
      <c r="H3" s="58"/>
      <c r="I3" s="38">
        <v>150</v>
      </c>
      <c r="J3" s="38"/>
      <c r="K3" s="8">
        <f t="shared" ref="K3:K28" si="0">SUM(G3:H3)/COUNTA(G3:H3)+SUM(I3:J3)/COUNTA(I3:J3)*Climbfaktor/1000</f>
        <v>6.25</v>
      </c>
      <c r="L3" s="7"/>
      <c r="M3" s="52">
        <f t="shared" ref="M3:R13" si="1">VLOOKUP(M$2,Basis,2,FALSE)*VLOOKUP($B3,Schwierigkeit,2,FALSE)*$K3</f>
        <v>3.3637152777777783E-2</v>
      </c>
      <c r="N3" s="52">
        <f t="shared" si="1"/>
        <v>3.90625E-2</v>
      </c>
      <c r="O3" s="52">
        <f t="shared" si="1"/>
        <v>3.2552083333333329E-2</v>
      </c>
      <c r="P3" s="52">
        <f t="shared" si="1"/>
        <v>3.7977430555555559E-2</v>
      </c>
      <c r="Q3" s="52">
        <f t="shared" si="1"/>
        <v>3.90625E-2</v>
      </c>
      <c r="R3" s="52">
        <f t="shared" si="1"/>
        <v>0</v>
      </c>
    </row>
    <row r="4" spans="1:18" x14ac:dyDescent="0.25">
      <c r="A4" s="1" t="s">
        <v>94</v>
      </c>
      <c r="B4" s="1" t="s">
        <v>95</v>
      </c>
      <c r="C4" s="38">
        <v>6</v>
      </c>
      <c r="D4" s="2" t="s">
        <v>14</v>
      </c>
      <c r="E4" s="7"/>
      <c r="F4" s="1" t="s">
        <v>94</v>
      </c>
      <c r="G4" s="58">
        <v>3.4</v>
      </c>
      <c r="H4" s="58"/>
      <c r="I4" s="38">
        <v>105</v>
      </c>
      <c r="J4" s="38"/>
      <c r="K4" s="8">
        <f t="shared" si="0"/>
        <v>4.3449999999999998</v>
      </c>
      <c r="L4" s="7"/>
      <c r="M4" s="52">
        <f t="shared" si="1"/>
        <v>2.3384548611111115E-2</v>
      </c>
      <c r="N4" s="52">
        <f t="shared" si="1"/>
        <v>2.7156249999999996E-2</v>
      </c>
      <c r="O4" s="52">
        <f t="shared" si="1"/>
        <v>2.2630208333333332E-2</v>
      </c>
      <c r="P4" s="52">
        <f t="shared" si="1"/>
        <v>2.6401909722222221E-2</v>
      </c>
      <c r="Q4" s="52">
        <f t="shared" si="1"/>
        <v>2.7156249999999996E-2</v>
      </c>
      <c r="R4" s="52">
        <f t="shared" si="1"/>
        <v>0</v>
      </c>
    </row>
    <row r="5" spans="1:18" x14ac:dyDescent="0.25">
      <c r="A5" s="1" t="s">
        <v>96</v>
      </c>
      <c r="B5" s="1" t="s">
        <v>95</v>
      </c>
      <c r="C5" s="38">
        <v>6</v>
      </c>
      <c r="D5" s="2" t="s">
        <v>14</v>
      </c>
      <c r="E5" s="7"/>
      <c r="F5" s="1" t="s">
        <v>96</v>
      </c>
      <c r="G5" s="58">
        <v>2.2999999999999998</v>
      </c>
      <c r="H5" s="58"/>
      <c r="I5" s="38">
        <v>125</v>
      </c>
      <c r="J5" s="38"/>
      <c r="K5" s="8">
        <f t="shared" si="0"/>
        <v>3.4249999999999998</v>
      </c>
      <c r="L5" s="7"/>
      <c r="M5" s="52">
        <f t="shared" si="1"/>
        <v>1.8433159722222224E-2</v>
      </c>
      <c r="N5" s="52">
        <f t="shared" si="1"/>
        <v>2.1406249999999998E-2</v>
      </c>
      <c r="O5" s="52">
        <f t="shared" si="1"/>
        <v>1.7838541666666666E-2</v>
      </c>
      <c r="P5" s="52">
        <f t="shared" si="1"/>
        <v>2.0811631944444443E-2</v>
      </c>
      <c r="Q5" s="52">
        <f t="shared" si="1"/>
        <v>2.1406249999999998E-2</v>
      </c>
      <c r="R5" s="52">
        <f t="shared" si="1"/>
        <v>0</v>
      </c>
    </row>
    <row r="6" spans="1:18" x14ac:dyDescent="0.25">
      <c r="A6" s="1" t="s">
        <v>97</v>
      </c>
      <c r="B6" s="1" t="s">
        <v>95</v>
      </c>
      <c r="C6" s="38">
        <v>6</v>
      </c>
      <c r="D6" s="2" t="s">
        <v>14</v>
      </c>
      <c r="E6" s="7"/>
      <c r="F6" s="1" t="s">
        <v>97</v>
      </c>
      <c r="G6" s="58">
        <v>2.9</v>
      </c>
      <c r="H6" s="58"/>
      <c r="I6" s="38">
        <v>55</v>
      </c>
      <c r="J6" s="38"/>
      <c r="K6" s="8">
        <f t="shared" si="0"/>
        <v>3.395</v>
      </c>
      <c r="L6" s="7"/>
      <c r="M6" s="52">
        <f t="shared" si="1"/>
        <v>1.8271701388888891E-2</v>
      </c>
      <c r="N6" s="52">
        <f t="shared" si="1"/>
        <v>2.1218749999999998E-2</v>
      </c>
      <c r="O6" s="52">
        <f t="shared" si="1"/>
        <v>1.7682291666666666E-2</v>
      </c>
      <c r="P6" s="52">
        <f t="shared" si="1"/>
        <v>2.0629340277777779E-2</v>
      </c>
      <c r="Q6" s="52">
        <f t="shared" si="1"/>
        <v>2.1218749999999998E-2</v>
      </c>
      <c r="R6" s="52">
        <f t="shared" si="1"/>
        <v>0</v>
      </c>
    </row>
    <row r="7" spans="1:18" x14ac:dyDescent="0.25">
      <c r="A7" s="1" t="s">
        <v>98</v>
      </c>
      <c r="B7" s="1" t="s">
        <v>95</v>
      </c>
      <c r="C7" s="38">
        <v>6</v>
      </c>
      <c r="D7" s="2" t="s">
        <v>14</v>
      </c>
      <c r="E7" s="7"/>
      <c r="F7" s="1" t="s">
        <v>98</v>
      </c>
      <c r="G7" s="58">
        <v>1.8</v>
      </c>
      <c r="H7" s="58"/>
      <c r="I7" s="38">
        <v>80</v>
      </c>
      <c r="J7" s="38"/>
      <c r="K7" s="8">
        <f t="shared" si="0"/>
        <v>2.52</v>
      </c>
      <c r="L7" s="7"/>
      <c r="M7" s="52">
        <f t="shared" si="1"/>
        <v>1.3562500000000002E-2</v>
      </c>
      <c r="N7" s="52">
        <f t="shared" si="1"/>
        <v>1.575E-2</v>
      </c>
      <c r="O7" s="52">
        <f t="shared" si="1"/>
        <v>1.3125E-2</v>
      </c>
      <c r="P7" s="52">
        <f t="shared" si="1"/>
        <v>1.53125E-2</v>
      </c>
      <c r="Q7" s="52">
        <f t="shared" si="1"/>
        <v>1.575E-2</v>
      </c>
      <c r="R7" s="52">
        <f t="shared" si="1"/>
        <v>0</v>
      </c>
    </row>
    <row r="8" spans="1:18" x14ac:dyDescent="0.25">
      <c r="A8" s="1" t="s">
        <v>99</v>
      </c>
      <c r="B8" s="1" t="s">
        <v>95</v>
      </c>
      <c r="C8" s="38">
        <v>6</v>
      </c>
      <c r="D8" s="2" t="s">
        <v>14</v>
      </c>
      <c r="E8" s="7"/>
      <c r="F8" s="1" t="s">
        <v>99</v>
      </c>
      <c r="G8" s="58">
        <v>2.4</v>
      </c>
      <c r="H8" s="58"/>
      <c r="I8" s="38">
        <v>55</v>
      </c>
      <c r="J8" s="38"/>
      <c r="K8" s="8">
        <f t="shared" si="0"/>
        <v>2.895</v>
      </c>
      <c r="L8" s="7"/>
      <c r="M8" s="52">
        <f t="shared" si="1"/>
        <v>1.558072916666667E-2</v>
      </c>
      <c r="N8" s="52">
        <f t="shared" si="1"/>
        <v>1.8093749999999999E-2</v>
      </c>
      <c r="O8" s="52">
        <f t="shared" si="1"/>
        <v>1.5078125E-2</v>
      </c>
      <c r="P8" s="52">
        <f t="shared" si="1"/>
        <v>1.7591145833333335E-2</v>
      </c>
      <c r="Q8" s="52">
        <f t="shared" si="1"/>
        <v>1.8093749999999999E-2</v>
      </c>
      <c r="R8" s="52">
        <f t="shared" si="1"/>
        <v>0</v>
      </c>
    </row>
    <row r="9" spans="1:18" x14ac:dyDescent="0.25">
      <c r="A9" s="1" t="s">
        <v>100</v>
      </c>
      <c r="B9" s="1" t="s">
        <v>13</v>
      </c>
      <c r="C9" s="38">
        <v>10</v>
      </c>
      <c r="D9" s="2" t="s">
        <v>13</v>
      </c>
      <c r="E9" s="7"/>
      <c r="F9" s="1" t="s">
        <v>101</v>
      </c>
      <c r="G9" s="58">
        <v>1.7</v>
      </c>
      <c r="H9" s="58"/>
      <c r="I9" s="38">
        <v>95</v>
      </c>
      <c r="J9" s="38"/>
      <c r="K9" s="8">
        <f t="shared" si="0"/>
        <v>2.5549999999999997</v>
      </c>
      <c r="L9" s="7"/>
      <c r="M9" s="52">
        <f t="shared" si="1"/>
        <v>1.5125954861111113E-2</v>
      </c>
      <c r="N9" s="52">
        <f t="shared" si="1"/>
        <v>1.7565624999999998E-2</v>
      </c>
      <c r="O9" s="52">
        <f t="shared" si="1"/>
        <v>1.4638020833333333E-2</v>
      </c>
      <c r="P9" s="52">
        <f t="shared" si="1"/>
        <v>1.7077690972222222E-2</v>
      </c>
      <c r="Q9" s="52">
        <f t="shared" si="1"/>
        <v>1.7565624999999998E-2</v>
      </c>
      <c r="R9" s="52">
        <f t="shared" si="1"/>
        <v>0</v>
      </c>
    </row>
    <row r="10" spans="1:18" x14ac:dyDescent="0.25">
      <c r="A10" s="1" t="s">
        <v>100</v>
      </c>
      <c r="B10" s="1" t="s">
        <v>13</v>
      </c>
      <c r="C10" s="38">
        <v>10</v>
      </c>
      <c r="D10" s="2" t="s">
        <v>13</v>
      </c>
      <c r="E10" s="7"/>
      <c r="F10" s="1" t="s">
        <v>102</v>
      </c>
      <c r="G10" s="58">
        <v>2.1</v>
      </c>
      <c r="H10" s="58"/>
      <c r="I10" s="38">
        <v>110</v>
      </c>
      <c r="J10" s="38"/>
      <c r="K10" s="8">
        <f t="shared" si="0"/>
        <v>3.09</v>
      </c>
      <c r="L10" s="7"/>
      <c r="M10" s="52">
        <f t="shared" si="1"/>
        <v>1.8293229166666671E-2</v>
      </c>
      <c r="N10" s="52">
        <f t="shared" si="1"/>
        <v>2.1243749999999999E-2</v>
      </c>
      <c r="O10" s="52">
        <f t="shared" si="1"/>
        <v>1.7703125E-2</v>
      </c>
      <c r="P10" s="52">
        <f t="shared" si="1"/>
        <v>2.0653645833333335E-2</v>
      </c>
      <c r="Q10" s="52">
        <f t="shared" si="1"/>
        <v>2.1243749999999999E-2</v>
      </c>
      <c r="R10" s="52">
        <f t="shared" si="1"/>
        <v>0</v>
      </c>
    </row>
    <row r="11" spans="1:18" x14ac:dyDescent="0.25">
      <c r="A11" s="1" t="s">
        <v>100</v>
      </c>
      <c r="B11" s="1" t="s">
        <v>13</v>
      </c>
      <c r="C11" s="38">
        <v>10</v>
      </c>
      <c r="D11" s="2" t="s">
        <v>13</v>
      </c>
      <c r="E11" s="7"/>
      <c r="F11" s="1" t="s">
        <v>103</v>
      </c>
      <c r="G11" s="58">
        <v>2.6</v>
      </c>
      <c r="H11" s="58"/>
      <c r="I11" s="38">
        <v>100</v>
      </c>
      <c r="J11" s="38"/>
      <c r="K11" s="8">
        <f t="shared" si="0"/>
        <v>3.5</v>
      </c>
      <c r="L11" s="7"/>
      <c r="M11" s="52">
        <f t="shared" si="1"/>
        <v>2.0720486111111117E-2</v>
      </c>
      <c r="N11" s="52">
        <f t="shared" si="1"/>
        <v>2.4062500000000001E-2</v>
      </c>
      <c r="O11" s="52">
        <f t="shared" si="1"/>
        <v>2.0052083333333335E-2</v>
      </c>
      <c r="P11" s="52">
        <f t="shared" si="1"/>
        <v>2.3394097222222222E-2</v>
      </c>
      <c r="Q11" s="52">
        <f t="shared" si="1"/>
        <v>2.4062500000000001E-2</v>
      </c>
      <c r="R11" s="52">
        <f t="shared" si="1"/>
        <v>0</v>
      </c>
    </row>
    <row r="12" spans="1:18" x14ac:dyDescent="0.25">
      <c r="A12" s="1" t="s">
        <v>100</v>
      </c>
      <c r="B12" s="1" t="s">
        <v>13</v>
      </c>
      <c r="C12" s="38">
        <v>10</v>
      </c>
      <c r="D12" s="2" t="s">
        <v>13</v>
      </c>
      <c r="E12" s="7"/>
      <c r="F12" s="1" t="s">
        <v>104</v>
      </c>
      <c r="G12" s="58">
        <v>3.1</v>
      </c>
      <c r="H12" s="58"/>
      <c r="I12" s="38">
        <v>105</v>
      </c>
      <c r="J12" s="38"/>
      <c r="K12" s="8">
        <f t="shared" si="0"/>
        <v>4.0449999999999999</v>
      </c>
      <c r="L12" s="7"/>
      <c r="M12" s="52">
        <f t="shared" si="1"/>
        <v>2.3946961805555562E-2</v>
      </c>
      <c r="N12" s="52">
        <f t="shared" si="1"/>
        <v>2.7809375000000001E-2</v>
      </c>
      <c r="O12" s="52">
        <f t="shared" si="1"/>
        <v>2.3174479166666668E-2</v>
      </c>
      <c r="P12" s="52">
        <f t="shared" si="1"/>
        <v>2.7036892361111113E-2</v>
      </c>
      <c r="Q12" s="52">
        <f t="shared" si="1"/>
        <v>2.7809375000000001E-2</v>
      </c>
      <c r="R12" s="52">
        <f t="shared" si="1"/>
        <v>0</v>
      </c>
    </row>
    <row r="13" spans="1:18" x14ac:dyDescent="0.25">
      <c r="A13" s="1" t="s">
        <v>100</v>
      </c>
      <c r="B13" s="1" t="s">
        <v>13</v>
      </c>
      <c r="C13" s="38">
        <v>10</v>
      </c>
      <c r="D13" s="2" t="s">
        <v>13</v>
      </c>
      <c r="E13" s="7"/>
      <c r="F13" s="1" t="s">
        <v>105</v>
      </c>
      <c r="G13" s="58">
        <v>3.4</v>
      </c>
      <c r="H13" s="58"/>
      <c r="I13" s="38">
        <v>110</v>
      </c>
      <c r="J13" s="38"/>
      <c r="K13" s="8">
        <f t="shared" si="0"/>
        <v>4.3899999999999997</v>
      </c>
      <c r="L13" s="7"/>
      <c r="M13" s="52">
        <f t="shared" si="1"/>
        <v>2.5989409722222228E-2</v>
      </c>
      <c r="N13" s="52">
        <f t="shared" si="1"/>
        <v>3.0181249999999996E-2</v>
      </c>
      <c r="O13" s="52">
        <f t="shared" si="1"/>
        <v>2.5151041666666665E-2</v>
      </c>
      <c r="P13" s="52">
        <f t="shared" si="1"/>
        <v>2.9342881944444444E-2</v>
      </c>
      <c r="Q13" s="52">
        <f t="shared" si="1"/>
        <v>3.0181249999999996E-2</v>
      </c>
      <c r="R13" s="52">
        <f t="shared" si="1"/>
        <v>0</v>
      </c>
    </row>
    <row r="14" spans="1:18" x14ac:dyDescent="0.25">
      <c r="A14" s="1" t="s">
        <v>100</v>
      </c>
      <c r="B14" s="1" t="s">
        <v>13</v>
      </c>
      <c r="C14" s="38">
        <v>10</v>
      </c>
      <c r="D14" s="2" t="s">
        <v>13</v>
      </c>
      <c r="E14" s="7"/>
      <c r="F14" s="1" t="s">
        <v>106</v>
      </c>
      <c r="G14" s="58">
        <v>4</v>
      </c>
      <c r="H14" s="58"/>
      <c r="I14" s="38">
        <v>125</v>
      </c>
      <c r="J14" s="38"/>
      <c r="K14" s="8">
        <f t="shared" si="0"/>
        <v>5.125</v>
      </c>
      <c r="L14" s="7"/>
      <c r="M14" s="52">
        <f t="shared" ref="M14:R23" si="2">VLOOKUP(M$2,Basis,2,FALSE)*VLOOKUP($B14,Schwierigkeit,2,FALSE)*$K14</f>
        <v>3.0340711805555563E-2</v>
      </c>
      <c r="N14" s="52">
        <f t="shared" si="2"/>
        <v>3.5234374999999998E-2</v>
      </c>
      <c r="O14" s="52">
        <f t="shared" si="2"/>
        <v>2.936197916666667E-2</v>
      </c>
      <c r="P14" s="52">
        <f t="shared" si="2"/>
        <v>3.4255642361111116E-2</v>
      </c>
      <c r="Q14" s="52">
        <f t="shared" si="2"/>
        <v>3.5234374999999998E-2</v>
      </c>
      <c r="R14" s="52">
        <f t="shared" si="2"/>
        <v>0</v>
      </c>
    </row>
    <row r="15" spans="1:18" x14ac:dyDescent="0.25">
      <c r="A15" s="1" t="s">
        <v>100</v>
      </c>
      <c r="B15" s="1" t="s">
        <v>13</v>
      </c>
      <c r="C15" s="38">
        <v>10</v>
      </c>
      <c r="D15" s="2" t="s">
        <v>13</v>
      </c>
      <c r="E15" s="7"/>
      <c r="F15" s="1" t="s">
        <v>107</v>
      </c>
      <c r="G15" s="58">
        <v>4.8</v>
      </c>
      <c r="H15" s="58"/>
      <c r="I15" s="38">
        <v>170</v>
      </c>
      <c r="J15" s="38"/>
      <c r="K15" s="8">
        <f t="shared" si="0"/>
        <v>6.33</v>
      </c>
      <c r="L15" s="7"/>
      <c r="M15" s="52">
        <f t="shared" si="2"/>
        <v>3.7474479166666678E-2</v>
      </c>
      <c r="N15" s="52">
        <f t="shared" si="2"/>
        <v>4.3518750000000002E-2</v>
      </c>
      <c r="O15" s="52">
        <f t="shared" si="2"/>
        <v>3.6265625000000003E-2</v>
      </c>
      <c r="P15" s="52">
        <f t="shared" si="2"/>
        <v>4.230989583333334E-2</v>
      </c>
      <c r="Q15" s="52">
        <f t="shared" si="2"/>
        <v>4.3518750000000002E-2</v>
      </c>
      <c r="R15" s="52">
        <f t="shared" si="2"/>
        <v>0</v>
      </c>
    </row>
    <row r="16" spans="1:18" x14ac:dyDescent="0.25">
      <c r="A16" s="1" t="s">
        <v>100</v>
      </c>
      <c r="B16" s="1" t="s">
        <v>13</v>
      </c>
      <c r="C16" s="38">
        <v>10</v>
      </c>
      <c r="D16" s="2" t="s">
        <v>13</v>
      </c>
      <c r="E16" s="7"/>
      <c r="F16" s="1" t="s">
        <v>108</v>
      </c>
      <c r="G16" s="58">
        <v>5.8</v>
      </c>
      <c r="H16" s="58"/>
      <c r="I16" s="38">
        <v>195</v>
      </c>
      <c r="J16" s="38"/>
      <c r="K16" s="8">
        <f t="shared" si="0"/>
        <v>7.5549999999999997</v>
      </c>
      <c r="L16" s="7"/>
      <c r="M16" s="52">
        <f t="shared" si="2"/>
        <v>4.4726649305555567E-2</v>
      </c>
      <c r="N16" s="52">
        <f t="shared" si="2"/>
        <v>5.1940624999999997E-2</v>
      </c>
      <c r="O16" s="52">
        <f t="shared" si="2"/>
        <v>4.328385416666667E-2</v>
      </c>
      <c r="P16" s="52">
        <f t="shared" si="2"/>
        <v>5.0497829861111114E-2</v>
      </c>
      <c r="Q16" s="52">
        <f t="shared" si="2"/>
        <v>5.1940624999999997E-2</v>
      </c>
      <c r="R16" s="52">
        <f t="shared" si="2"/>
        <v>0</v>
      </c>
    </row>
    <row r="17" spans="1:18" x14ac:dyDescent="0.25">
      <c r="A17" s="1" t="s">
        <v>100</v>
      </c>
      <c r="B17" s="1" t="s">
        <v>13</v>
      </c>
      <c r="C17" s="38">
        <v>10</v>
      </c>
      <c r="D17" s="2" t="s">
        <v>13</v>
      </c>
      <c r="E17" s="7"/>
      <c r="F17" s="1" t="s">
        <v>109</v>
      </c>
      <c r="G17" s="58">
        <v>7</v>
      </c>
      <c r="H17" s="58"/>
      <c r="I17" s="38">
        <v>150</v>
      </c>
      <c r="J17" s="38"/>
      <c r="K17" s="8">
        <f t="shared" si="0"/>
        <v>8.35</v>
      </c>
      <c r="L17" s="7"/>
      <c r="M17" s="52">
        <f t="shared" si="2"/>
        <v>4.9433159722222238E-2</v>
      </c>
      <c r="N17" s="52">
        <f t="shared" si="2"/>
        <v>5.7406249999999999E-2</v>
      </c>
      <c r="O17" s="52">
        <f t="shared" si="2"/>
        <v>4.7838541666666672E-2</v>
      </c>
      <c r="P17" s="52">
        <f t="shared" si="2"/>
        <v>5.5811631944444447E-2</v>
      </c>
      <c r="Q17" s="52">
        <f t="shared" si="2"/>
        <v>5.7406249999999999E-2</v>
      </c>
      <c r="R17" s="52">
        <f t="shared" si="2"/>
        <v>0</v>
      </c>
    </row>
    <row r="18" spans="1:18" x14ac:dyDescent="0.25">
      <c r="A18" s="1" t="s">
        <v>100</v>
      </c>
      <c r="B18" s="1" t="s">
        <v>13</v>
      </c>
      <c r="C18" s="38">
        <v>10</v>
      </c>
      <c r="D18" s="2" t="s">
        <v>13</v>
      </c>
      <c r="E18" s="7"/>
      <c r="F18" s="1" t="s">
        <v>110</v>
      </c>
      <c r="G18" s="58">
        <v>10</v>
      </c>
      <c r="H18" s="58"/>
      <c r="I18" s="38">
        <v>295</v>
      </c>
      <c r="J18" s="38"/>
      <c r="K18" s="8">
        <f t="shared" si="0"/>
        <v>12.654999999999999</v>
      </c>
      <c r="L18" s="7"/>
      <c r="M18" s="52">
        <f t="shared" si="2"/>
        <v>7.4919357638888906E-2</v>
      </c>
      <c r="N18" s="52">
        <f t="shared" si="2"/>
        <v>8.7003125000000001E-2</v>
      </c>
      <c r="O18" s="52">
        <f t="shared" si="2"/>
        <v>7.2502604166666665E-2</v>
      </c>
      <c r="P18" s="52">
        <f t="shared" si="2"/>
        <v>8.4586371527777787E-2</v>
      </c>
      <c r="Q18" s="52">
        <f t="shared" si="2"/>
        <v>8.7003125000000001E-2</v>
      </c>
      <c r="R18" s="52">
        <f t="shared" si="2"/>
        <v>0</v>
      </c>
    </row>
    <row r="19" spans="1:18" x14ac:dyDescent="0.25">
      <c r="A19" s="1" t="s">
        <v>2</v>
      </c>
      <c r="B19" s="1" t="s">
        <v>4</v>
      </c>
      <c r="C19" s="38">
        <v>1</v>
      </c>
      <c r="D19" s="2" t="s">
        <v>14</v>
      </c>
      <c r="E19" s="7"/>
      <c r="F19" s="1" t="s">
        <v>73</v>
      </c>
      <c r="G19" s="58">
        <v>2.7</v>
      </c>
      <c r="H19" s="58"/>
      <c r="I19" s="38">
        <v>75</v>
      </c>
      <c r="J19" s="38"/>
      <c r="K19" s="8">
        <f t="shared" si="0"/>
        <v>3.375</v>
      </c>
      <c r="L19" s="7"/>
      <c r="M19" s="52">
        <f t="shared" si="2"/>
        <v>1.7255859375000002E-2</v>
      </c>
      <c r="N19" s="52">
        <f t="shared" si="2"/>
        <v>2.0039062499999996E-2</v>
      </c>
      <c r="O19" s="52">
        <f t="shared" si="2"/>
        <v>1.6699218749999998E-2</v>
      </c>
      <c r="P19" s="52">
        <f t="shared" si="2"/>
        <v>1.9482421874999999E-2</v>
      </c>
      <c r="Q19" s="52">
        <f t="shared" si="2"/>
        <v>2.0039062499999996E-2</v>
      </c>
      <c r="R19" s="52">
        <f t="shared" si="2"/>
        <v>0</v>
      </c>
    </row>
    <row r="20" spans="1:18" x14ac:dyDescent="0.25">
      <c r="A20" s="1" t="s">
        <v>3</v>
      </c>
      <c r="B20" s="1" t="s">
        <v>5</v>
      </c>
      <c r="C20" s="38">
        <v>1</v>
      </c>
      <c r="D20" s="2" t="s">
        <v>14</v>
      </c>
      <c r="E20" s="7"/>
      <c r="F20" s="1" t="s">
        <v>74</v>
      </c>
      <c r="G20" s="58">
        <v>3.7</v>
      </c>
      <c r="H20" s="58"/>
      <c r="I20" s="38">
        <v>130</v>
      </c>
      <c r="J20" s="38"/>
      <c r="K20" s="8">
        <f t="shared" si="0"/>
        <v>4.87</v>
      </c>
      <c r="L20" s="7"/>
      <c r="M20" s="52">
        <f t="shared" si="2"/>
        <v>2.7520572916666673E-2</v>
      </c>
      <c r="N20" s="52">
        <f t="shared" si="2"/>
        <v>3.1959374999999998E-2</v>
      </c>
      <c r="O20" s="52">
        <f t="shared" si="2"/>
        <v>2.6632812499999999E-2</v>
      </c>
      <c r="P20" s="52">
        <f t="shared" si="2"/>
        <v>3.1071614583333337E-2</v>
      </c>
      <c r="Q20" s="52">
        <f t="shared" si="2"/>
        <v>3.1959374999999998E-2</v>
      </c>
      <c r="R20" s="52">
        <f t="shared" si="2"/>
        <v>0</v>
      </c>
    </row>
    <row r="21" spans="1:18" x14ac:dyDescent="0.25">
      <c r="A21" s="1" t="s">
        <v>111</v>
      </c>
      <c r="B21" s="1" t="s">
        <v>14</v>
      </c>
      <c r="C21" s="38">
        <v>8</v>
      </c>
      <c r="D21" s="2" t="s">
        <v>14</v>
      </c>
      <c r="E21" s="7"/>
      <c r="F21" s="1" t="s">
        <v>112</v>
      </c>
      <c r="G21" s="58">
        <v>2.2999999999999998</v>
      </c>
      <c r="H21" s="58"/>
      <c r="I21" s="38">
        <v>70</v>
      </c>
      <c r="J21" s="38"/>
      <c r="K21" s="8">
        <f t="shared" si="0"/>
        <v>2.9299999999999997</v>
      </c>
      <c r="L21" s="7"/>
      <c r="M21" s="52">
        <f t="shared" si="2"/>
        <v>1.4192187500000002E-2</v>
      </c>
      <c r="N21" s="52">
        <f t="shared" si="2"/>
        <v>1.6481249999999999E-2</v>
      </c>
      <c r="O21" s="52">
        <f t="shared" si="2"/>
        <v>1.3734374999999998E-2</v>
      </c>
      <c r="P21" s="52">
        <f t="shared" si="2"/>
        <v>1.6023437500000001E-2</v>
      </c>
      <c r="Q21" s="52">
        <f t="shared" si="2"/>
        <v>1.6481249999999999E-2</v>
      </c>
      <c r="R21" s="52">
        <f t="shared" si="2"/>
        <v>0</v>
      </c>
    </row>
    <row r="22" spans="1:18" x14ac:dyDescent="0.25">
      <c r="A22" s="1" t="s">
        <v>111</v>
      </c>
      <c r="B22" s="1" t="s">
        <v>14</v>
      </c>
      <c r="C22" s="38">
        <v>8</v>
      </c>
      <c r="D22" s="2" t="s">
        <v>14</v>
      </c>
      <c r="E22" s="7"/>
      <c r="F22" s="1" t="s">
        <v>113</v>
      </c>
      <c r="G22" s="58">
        <v>3</v>
      </c>
      <c r="H22" s="58"/>
      <c r="I22" s="38">
        <v>90</v>
      </c>
      <c r="J22" s="38"/>
      <c r="K22" s="8">
        <f t="shared" si="0"/>
        <v>3.81</v>
      </c>
      <c r="L22" s="7"/>
      <c r="M22" s="52">
        <f t="shared" si="2"/>
        <v>1.8454687500000004E-2</v>
      </c>
      <c r="N22" s="52">
        <f t="shared" si="2"/>
        <v>2.1431249999999999E-2</v>
      </c>
      <c r="O22" s="52">
        <f t="shared" si="2"/>
        <v>1.7859375E-2</v>
      </c>
      <c r="P22" s="52">
        <f t="shared" si="2"/>
        <v>2.0835937500000002E-2</v>
      </c>
      <c r="Q22" s="52">
        <f t="shared" si="2"/>
        <v>2.1431249999999999E-2</v>
      </c>
      <c r="R22" s="52">
        <f t="shared" si="2"/>
        <v>0</v>
      </c>
    </row>
    <row r="23" spans="1:18" x14ac:dyDescent="0.25">
      <c r="A23" s="1" t="s">
        <v>111</v>
      </c>
      <c r="B23" s="1" t="s">
        <v>14</v>
      </c>
      <c r="C23" s="38">
        <v>8</v>
      </c>
      <c r="D23" s="2" t="s">
        <v>14</v>
      </c>
      <c r="E23" s="7"/>
      <c r="F23" s="1" t="s">
        <v>114</v>
      </c>
      <c r="G23" s="58">
        <v>3.3</v>
      </c>
      <c r="H23" s="58"/>
      <c r="I23" s="38">
        <v>70</v>
      </c>
      <c r="J23" s="38"/>
      <c r="K23" s="8">
        <f t="shared" si="0"/>
        <v>3.9299999999999997</v>
      </c>
      <c r="L23" s="7"/>
      <c r="M23" s="52">
        <f t="shared" si="2"/>
        <v>1.9035937500000003E-2</v>
      </c>
      <c r="N23" s="52">
        <f t="shared" si="2"/>
        <v>2.2106249999999997E-2</v>
      </c>
      <c r="O23" s="52">
        <f t="shared" si="2"/>
        <v>1.8421874999999997E-2</v>
      </c>
      <c r="P23" s="52">
        <f t="shared" si="2"/>
        <v>2.1492187499999999E-2</v>
      </c>
      <c r="Q23" s="52">
        <f t="shared" si="2"/>
        <v>2.2106249999999997E-2</v>
      </c>
      <c r="R23" s="52">
        <f t="shared" si="2"/>
        <v>0</v>
      </c>
    </row>
    <row r="24" spans="1:18" x14ac:dyDescent="0.25">
      <c r="A24" s="1" t="s">
        <v>111</v>
      </c>
      <c r="B24" s="1" t="s">
        <v>14</v>
      </c>
      <c r="C24" s="38">
        <v>8</v>
      </c>
      <c r="D24" s="2" t="s">
        <v>14</v>
      </c>
      <c r="E24" s="7"/>
      <c r="F24" s="1" t="s">
        <v>115</v>
      </c>
      <c r="G24" s="58">
        <v>3.7</v>
      </c>
      <c r="H24" s="58"/>
      <c r="I24" s="38">
        <v>130</v>
      </c>
      <c r="J24" s="38"/>
      <c r="K24" s="8">
        <f t="shared" si="0"/>
        <v>4.87</v>
      </c>
      <c r="L24" s="7"/>
      <c r="M24" s="52">
        <f t="shared" ref="M24:R28" si="3">VLOOKUP(M$2,Basis,2,FALSE)*VLOOKUP($B24,Schwierigkeit,2,FALSE)*$K24</f>
        <v>2.3589062500000004E-2</v>
      </c>
      <c r="N24" s="52">
        <f t="shared" si="3"/>
        <v>2.7393749999999998E-2</v>
      </c>
      <c r="O24" s="52">
        <f t="shared" si="3"/>
        <v>2.2828125000000001E-2</v>
      </c>
      <c r="P24" s="52">
        <f t="shared" si="3"/>
        <v>2.6632812500000002E-2</v>
      </c>
      <c r="Q24" s="52">
        <f t="shared" si="3"/>
        <v>2.7393749999999998E-2</v>
      </c>
      <c r="R24" s="52">
        <f t="shared" si="3"/>
        <v>0</v>
      </c>
    </row>
    <row r="25" spans="1:18" x14ac:dyDescent="0.25">
      <c r="A25" s="1" t="s">
        <v>111</v>
      </c>
      <c r="B25" s="1" t="s">
        <v>14</v>
      </c>
      <c r="C25" s="38">
        <v>8</v>
      </c>
      <c r="D25" s="2" t="s">
        <v>14</v>
      </c>
      <c r="E25" s="7"/>
      <c r="F25" s="1" t="s">
        <v>116</v>
      </c>
      <c r="G25" s="58">
        <v>4.2</v>
      </c>
      <c r="H25" s="58"/>
      <c r="I25" s="38">
        <v>95</v>
      </c>
      <c r="J25" s="38"/>
      <c r="K25" s="8">
        <f t="shared" si="0"/>
        <v>5.0549999999999997</v>
      </c>
      <c r="L25" s="7"/>
      <c r="M25" s="52">
        <f t="shared" si="3"/>
        <v>2.4485156250000004E-2</v>
      </c>
      <c r="N25" s="52">
        <f t="shared" si="3"/>
        <v>2.8434374999999998E-2</v>
      </c>
      <c r="O25" s="52">
        <f t="shared" si="3"/>
        <v>2.3695312499999999E-2</v>
      </c>
      <c r="P25" s="52">
        <f t="shared" si="3"/>
        <v>2.764453125E-2</v>
      </c>
      <c r="Q25" s="52">
        <f t="shared" si="3"/>
        <v>2.8434374999999998E-2</v>
      </c>
      <c r="R25" s="52">
        <f t="shared" si="3"/>
        <v>0</v>
      </c>
    </row>
    <row r="26" spans="1:18" x14ac:dyDescent="0.25">
      <c r="A26" s="1" t="s">
        <v>111</v>
      </c>
      <c r="B26" s="1" t="s">
        <v>14</v>
      </c>
      <c r="C26" s="38">
        <v>8</v>
      </c>
      <c r="D26" s="2" t="s">
        <v>14</v>
      </c>
      <c r="E26" s="7"/>
      <c r="F26" s="1" t="s">
        <v>117</v>
      </c>
      <c r="G26" s="58">
        <v>5.0999999999999996</v>
      </c>
      <c r="H26" s="58"/>
      <c r="I26" s="38">
        <v>130</v>
      </c>
      <c r="J26" s="38"/>
      <c r="K26" s="8">
        <f t="shared" si="0"/>
        <v>6.27</v>
      </c>
      <c r="L26" s="7"/>
      <c r="M26" s="52">
        <f t="shared" si="3"/>
        <v>3.0370312500000003E-2</v>
      </c>
      <c r="N26" s="52">
        <f t="shared" si="3"/>
        <v>3.5268749999999995E-2</v>
      </c>
      <c r="O26" s="52">
        <f t="shared" si="3"/>
        <v>2.9390624999999997E-2</v>
      </c>
      <c r="P26" s="52">
        <f t="shared" si="3"/>
        <v>3.4289062500000002E-2</v>
      </c>
      <c r="Q26" s="52">
        <f t="shared" si="3"/>
        <v>3.5268749999999995E-2</v>
      </c>
      <c r="R26" s="52">
        <f t="shared" si="3"/>
        <v>0</v>
      </c>
    </row>
    <row r="27" spans="1:18" x14ac:dyDescent="0.25">
      <c r="A27" s="1" t="s">
        <v>111</v>
      </c>
      <c r="B27" s="1" t="s">
        <v>14</v>
      </c>
      <c r="C27" s="38">
        <v>8</v>
      </c>
      <c r="D27" s="2" t="s">
        <v>14</v>
      </c>
      <c r="E27" s="7"/>
      <c r="F27" s="1" t="s">
        <v>118</v>
      </c>
      <c r="G27" s="58">
        <v>5.4</v>
      </c>
      <c r="H27" s="58"/>
      <c r="I27" s="38">
        <v>205</v>
      </c>
      <c r="J27" s="38"/>
      <c r="K27" s="8">
        <f t="shared" si="0"/>
        <v>7.2450000000000001</v>
      </c>
      <c r="L27" s="7"/>
      <c r="M27" s="52">
        <f t="shared" si="3"/>
        <v>3.5092968750000009E-2</v>
      </c>
      <c r="N27" s="52">
        <f t="shared" si="3"/>
        <v>4.0753125000000001E-2</v>
      </c>
      <c r="O27" s="52">
        <f t="shared" si="3"/>
        <v>3.3960937499999996E-2</v>
      </c>
      <c r="P27" s="52">
        <f t="shared" si="3"/>
        <v>3.9621093750000003E-2</v>
      </c>
      <c r="Q27" s="52">
        <f t="shared" si="3"/>
        <v>4.0753125000000001E-2</v>
      </c>
      <c r="R27" s="52">
        <f t="shared" si="3"/>
        <v>0</v>
      </c>
    </row>
    <row r="28" spans="1:18" x14ac:dyDescent="0.25">
      <c r="A28" s="1" t="s">
        <v>111</v>
      </c>
      <c r="B28" s="1" t="s">
        <v>14</v>
      </c>
      <c r="C28" s="38">
        <v>8</v>
      </c>
      <c r="D28" s="2" t="s">
        <v>14</v>
      </c>
      <c r="E28" s="7"/>
      <c r="F28" s="1" t="s">
        <v>119</v>
      </c>
      <c r="G28" s="58">
        <v>6.4</v>
      </c>
      <c r="H28" s="58"/>
      <c r="I28" s="38">
        <v>170</v>
      </c>
      <c r="J28" s="38"/>
      <c r="K28" s="8">
        <f t="shared" si="0"/>
        <v>7.9300000000000006</v>
      </c>
      <c r="L28" s="7"/>
      <c r="M28" s="52">
        <f t="shared" si="3"/>
        <v>3.8410937500000013E-2</v>
      </c>
      <c r="N28" s="52">
        <f t="shared" si="3"/>
        <v>4.460625E-2</v>
      </c>
      <c r="O28" s="52">
        <f t="shared" si="3"/>
        <v>3.7171875E-2</v>
      </c>
      <c r="P28" s="52">
        <f t="shared" si="3"/>
        <v>4.3367187500000008E-2</v>
      </c>
      <c r="Q28" s="52">
        <f t="shared" si="3"/>
        <v>4.460625E-2</v>
      </c>
      <c r="R28" s="52">
        <f t="shared" si="3"/>
        <v>0</v>
      </c>
    </row>
  </sheetData>
  <mergeCells count="1">
    <mergeCell ref="M1:R1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workbookViewId="0">
      <pane xSplit="2" ySplit="1" topLeftCell="C28" activePane="bottomRight" state="frozen"/>
      <selection pane="topRight" activeCell="C1" sqref="C1"/>
      <selection pane="bottomLeft" activeCell="A2" sqref="A2"/>
      <selection pane="bottomRight" activeCell="C61" sqref="C61"/>
    </sheetView>
  </sheetViews>
  <sheetFormatPr baseColWidth="10" defaultColWidth="9.109375" defaultRowHeight="13.2" x14ac:dyDescent="0.25"/>
  <cols>
    <col min="1" max="1" width="14.44140625" bestFit="1" customWidth="1"/>
    <col min="2" max="2" width="12.44140625" style="57" bestFit="1" customWidth="1"/>
    <col min="3" max="3" width="10.88671875" style="57" bestFit="1" customWidth="1"/>
    <col min="4" max="4" width="8.5546875" style="57" bestFit="1" customWidth="1"/>
  </cols>
  <sheetData>
    <row r="1" spans="1:4" x14ac:dyDescent="0.25">
      <c r="A1" s="54" t="s">
        <v>63</v>
      </c>
      <c r="B1" s="55" t="s">
        <v>121</v>
      </c>
      <c r="C1" s="55" t="s">
        <v>122</v>
      </c>
      <c r="D1" s="55" t="s">
        <v>85</v>
      </c>
    </row>
    <row r="2" spans="1:4" x14ac:dyDescent="0.25">
      <c r="A2" s="66" t="str">
        <f>CoursesBasis!$F18&amp;CoursesBasis!Q$2</f>
        <v>D10GL</v>
      </c>
      <c r="B2" s="67">
        <f>CoursesBasis!$Q18</f>
        <v>8.7003125000000001E-2</v>
      </c>
      <c r="C2" s="67" t="e">
        <f t="shared" ref="C2:C33" si="0">VLOOKUP(A2,BahnLaufzeiten,14,FALSE)</f>
        <v>#N/A</v>
      </c>
      <c r="D2" s="67" t="e">
        <f>IF(B2-C2&gt;0,"-"&amp;TEXT(B2-C2,"MM:SS"),"+"&amp;TEXT(C2-B2,"MM:SS"))</f>
        <v>#N/A</v>
      </c>
    </row>
    <row r="3" spans="1:4" x14ac:dyDescent="0.25">
      <c r="A3" s="66" t="str">
        <f>CoursesBasis!$F18&amp;CoursesBasis!O$2</f>
        <v>D10KHR</v>
      </c>
      <c r="B3" s="67">
        <f>CoursesBasis!$O18</f>
        <v>7.2502604166666665E-2</v>
      </c>
      <c r="C3" s="67" t="e">
        <f t="shared" si="0"/>
        <v>#N/A</v>
      </c>
      <c r="D3" s="67" t="e">
        <f>IF(B3-C3&gt;0,"-"&amp;TEXT(B3-C3,"MM:SS"),"+"&amp;TEXT(C3-B3,"MM:SS"))</f>
        <v>#N/A</v>
      </c>
    </row>
    <row r="4" spans="1:4" x14ac:dyDescent="0.25">
      <c r="A4" s="5" t="str">
        <f>CoursesBasis!$F18&amp;CoursesBasis!P$2</f>
        <v>D10KLB</v>
      </c>
      <c r="B4" s="56">
        <f>CoursesBasis!$P18</f>
        <v>8.4586371527777787E-2</v>
      </c>
      <c r="C4" s="67" t="e">
        <f t="shared" si="0"/>
        <v>#N/A</v>
      </c>
      <c r="D4" s="67" t="e">
        <f>IF(B4-C4&gt;0,"-"&amp;TEXT(B4-C4,"MM:SS"),"+"&amp;TEXT(C4-B4,"MM:SS"))</f>
        <v>#N/A</v>
      </c>
    </row>
    <row r="5" spans="1:4" x14ac:dyDescent="0.25">
      <c r="A5" s="5" t="str">
        <f>CoursesBasis!$F18&amp;CoursesBasis!R$2</f>
        <v>D10L6</v>
      </c>
      <c r="B5" s="56">
        <f>CoursesBasis!$R18</f>
        <v>0</v>
      </c>
      <c r="C5" s="67" t="e">
        <f t="shared" si="0"/>
        <v>#N/A</v>
      </c>
      <c r="D5" s="67" t="e">
        <f>IF(B5-C5&gt;0,"-"&amp;TEXT(B5-C5,"MM:SS"),"+"&amp;TEXT(C5-B5,"MM:SS"))</f>
        <v>#N/A</v>
      </c>
    </row>
    <row r="6" spans="1:4" x14ac:dyDescent="0.25">
      <c r="A6" s="66" t="str">
        <f>CoursesBasis!$F18&amp;CoursesBasis!M$2</f>
        <v>D10OB</v>
      </c>
      <c r="B6" s="67">
        <f>CoursesBasis!M18</f>
        <v>7.4919357638888906E-2</v>
      </c>
      <c r="C6" s="67" t="e">
        <f t="shared" si="0"/>
        <v>#N/A</v>
      </c>
      <c r="D6" s="67" t="e">
        <f>IF(B6-C6&gt;0,"-"&amp;TEXT(B6-C6,"MM:SS"),"+"&amp;TEXT(C6-B6,"MM:SS"))</f>
        <v>#N/A</v>
      </c>
    </row>
    <row r="7" spans="1:4" x14ac:dyDescent="0.25">
      <c r="A7" s="5" t="str">
        <f>CoursesBasis!$F18&amp;CoursesBasis!N$2</f>
        <v>D10VB</v>
      </c>
      <c r="B7" s="56">
        <f>CoursesBasis!$N18</f>
        <v>8.7003125000000001E-2</v>
      </c>
      <c r="C7" s="67" t="e">
        <f t="shared" si="0"/>
        <v>#N/A</v>
      </c>
      <c r="D7" s="67" t="e">
        <f>IF(B7-C7&gt;0,"-"&amp;TEXT(B7-C7,"MM:SS"),"+"&amp;TEXT(B7-C7,"MM:SS"))</f>
        <v>#N/A</v>
      </c>
    </row>
    <row r="8" spans="1:4" x14ac:dyDescent="0.25">
      <c r="A8" s="66" t="str">
        <f>CoursesBasis!$F9&amp;CoursesBasis!Q$2</f>
        <v>D1GL</v>
      </c>
      <c r="B8" s="67">
        <f>CoursesBasis!$Q9</f>
        <v>1.7565624999999998E-2</v>
      </c>
      <c r="C8" s="67">
        <f t="shared" si="0"/>
        <v>1.1967592592592592E-2</v>
      </c>
      <c r="D8" s="67" t="str">
        <f>IF(B8-C8&gt;0,"-"&amp;TEXT(B8-C8,"MM:SS"),"+"&amp;TEXT(B8-C8,"MM:SS"))</f>
        <v>-08:04</v>
      </c>
    </row>
    <row r="9" spans="1:4" x14ac:dyDescent="0.25">
      <c r="A9" s="66" t="str">
        <f>CoursesBasis!$F9&amp;CoursesBasis!O$2</f>
        <v>D1KHR</v>
      </c>
      <c r="B9" s="67">
        <f>CoursesBasis!$O9</f>
        <v>1.4638020833333333E-2</v>
      </c>
      <c r="C9" s="67" t="e">
        <f t="shared" si="0"/>
        <v>#N/A</v>
      </c>
      <c r="D9" s="67" t="e">
        <f>IF(B9-C9&gt;0,"-"&amp;TEXT(B9-C9,"MM:SS"),"+"&amp;TEXT(B9-C9,"MM:SS"))</f>
        <v>#N/A</v>
      </c>
    </row>
    <row r="10" spans="1:4" x14ac:dyDescent="0.25">
      <c r="A10" s="5" t="str">
        <f>CoursesBasis!$F9&amp;CoursesBasis!P$2</f>
        <v>D1KLB</v>
      </c>
      <c r="B10" s="56">
        <f>CoursesBasis!$P9</f>
        <v>1.7077690972222222E-2</v>
      </c>
      <c r="C10" s="67" t="e">
        <f t="shared" si="0"/>
        <v>#N/A</v>
      </c>
      <c r="D10" s="67" t="e">
        <f>IF(B10-C10&gt;0,"-"&amp;TEXT(B10-C10,"MM:SS"),"+"&amp;TEXT(B10-C10,"MM:SS"))</f>
        <v>#N/A</v>
      </c>
    </row>
    <row r="11" spans="1:4" x14ac:dyDescent="0.25">
      <c r="A11" s="5" t="str">
        <f>CoursesBasis!$F9&amp;CoursesBasis!R$2</f>
        <v>D1L6</v>
      </c>
      <c r="B11" s="56">
        <f>CoursesBasis!$R9</f>
        <v>0</v>
      </c>
      <c r="C11" s="67" t="e">
        <f t="shared" si="0"/>
        <v>#N/A</v>
      </c>
      <c r="D11" s="67" t="e">
        <f>IF(B11-C11&gt;0,"-"&amp;TEXT(B11-C11,"MM:SS"),"+"&amp;TEXT(C11-B11,"MM:SS"))</f>
        <v>#N/A</v>
      </c>
    </row>
    <row r="12" spans="1:4" x14ac:dyDescent="0.25">
      <c r="A12" s="66" t="str">
        <f>CoursesBasis!$F9&amp;CoursesBasis!M$2</f>
        <v>D1OB</v>
      </c>
      <c r="B12" s="67">
        <f>CoursesBasis!M9</f>
        <v>1.5125954861111113E-2</v>
      </c>
      <c r="C12" s="67" t="e">
        <f t="shared" si="0"/>
        <v>#N/A</v>
      </c>
      <c r="D12" s="67" t="e">
        <f>IF(B12-C12&gt;0,"-"&amp;TEXT(B12-C12,"MM:SS"),"+"&amp;TEXT(B12-C12,"MM:SS"))</f>
        <v>#N/A</v>
      </c>
    </row>
    <row r="13" spans="1:4" x14ac:dyDescent="0.25">
      <c r="A13" s="5" t="str">
        <f>CoursesBasis!$F9&amp;CoursesBasis!N$2</f>
        <v>D1VB</v>
      </c>
      <c r="B13" s="56">
        <f>CoursesBasis!$N9</f>
        <v>1.7565624999999998E-2</v>
      </c>
      <c r="C13" s="67" t="e">
        <f t="shared" si="0"/>
        <v>#N/A</v>
      </c>
      <c r="D13" s="67" t="e">
        <f>IF(B13-C13&gt;0,"-"&amp;TEXT(B13-C13,"MM:SS"),"+"&amp;TEXT(B13-C13,"MM:SS"))</f>
        <v>#N/A</v>
      </c>
    </row>
    <row r="14" spans="1:4" x14ac:dyDescent="0.25">
      <c r="A14" s="66" t="str">
        <f>CoursesBasis!$F10&amp;CoursesBasis!Q$2</f>
        <v>D2GL</v>
      </c>
      <c r="B14" s="67">
        <f>CoursesBasis!$Q10</f>
        <v>2.1243749999999999E-2</v>
      </c>
      <c r="C14" s="67" t="e">
        <f t="shared" si="0"/>
        <v>#N/A</v>
      </c>
      <c r="D14" s="67" t="e">
        <f>IF(B14-C14&gt;0,"-"&amp;TEXT(B14-C14,"MM:SS"),"+"&amp;TEXT(B14-C14,"MM:SS"))</f>
        <v>#N/A</v>
      </c>
    </row>
    <row r="15" spans="1:4" x14ac:dyDescent="0.25">
      <c r="A15" s="66" t="str">
        <f>CoursesBasis!$F10&amp;CoursesBasis!O$2</f>
        <v>D2KHR</v>
      </c>
      <c r="B15" s="67">
        <f>CoursesBasis!$O10</f>
        <v>1.7703125E-2</v>
      </c>
      <c r="C15" s="67" t="e">
        <f t="shared" si="0"/>
        <v>#N/A</v>
      </c>
      <c r="D15" s="67" t="e">
        <f>IF(B15-C15&gt;0,"-"&amp;TEXT(B15-C15,"MM:SS"),"+"&amp;TEXT(B15-C15,"MM:SS"))</f>
        <v>#N/A</v>
      </c>
    </row>
    <row r="16" spans="1:4" x14ac:dyDescent="0.25">
      <c r="A16" s="5" t="str">
        <f>CoursesBasis!$F10&amp;CoursesBasis!P$2</f>
        <v>D2KLB</v>
      </c>
      <c r="B16" s="56">
        <f>CoursesBasis!$P10</f>
        <v>2.0653645833333335E-2</v>
      </c>
      <c r="C16" s="67">
        <f t="shared" si="0"/>
        <v>1.4583333333333332E-2</v>
      </c>
      <c r="D16" s="67" t="str">
        <f>IF(B16-C16&gt;0,"-"&amp;TEXT(B16-C16,"MM:SS"),"+"&amp;TEXT(C16-B16,"MM:SS"))</f>
        <v>-08:44</v>
      </c>
    </row>
    <row r="17" spans="1:4" x14ac:dyDescent="0.25">
      <c r="A17" s="5" t="str">
        <f>CoursesBasis!$F10&amp;CoursesBasis!R$2</f>
        <v>D2L6</v>
      </c>
      <c r="B17" s="56">
        <f>CoursesBasis!$R10</f>
        <v>0</v>
      </c>
      <c r="C17" s="67" t="e">
        <f t="shared" si="0"/>
        <v>#N/A</v>
      </c>
      <c r="D17" s="67" t="e">
        <f>IF(B17-C17&gt;0,"-"&amp;TEXT(B17-C17,"MM:SS"),"+"&amp;TEXT(B17-C17,"MM:SS"))</f>
        <v>#N/A</v>
      </c>
    </row>
    <row r="18" spans="1:4" x14ac:dyDescent="0.25">
      <c r="A18" s="66" t="str">
        <f>CoursesBasis!$F10&amp;CoursesBasis!M$2</f>
        <v>D2OB</v>
      </c>
      <c r="B18" s="67">
        <f>CoursesBasis!M10</f>
        <v>1.8293229166666671E-2</v>
      </c>
      <c r="C18" s="67" t="e">
        <f t="shared" si="0"/>
        <v>#N/A</v>
      </c>
      <c r="D18" s="67" t="e">
        <f>IF(B18-C18&gt;0,"-"&amp;TEXT(B18-C18,"MM:SS"),"+"&amp;TEXT(B18-C18,"MM:SS"))</f>
        <v>#N/A</v>
      </c>
    </row>
    <row r="19" spans="1:4" x14ac:dyDescent="0.25">
      <c r="A19" s="5" t="str">
        <f>CoursesBasis!$F10&amp;CoursesBasis!N$2</f>
        <v>D2VB</v>
      </c>
      <c r="B19" s="56">
        <f>CoursesBasis!$N10</f>
        <v>2.1243749999999999E-2</v>
      </c>
      <c r="C19" s="67" t="e">
        <f t="shared" si="0"/>
        <v>#N/A</v>
      </c>
      <c r="D19" s="67" t="e">
        <f>IF(B19-C19&gt;0,"-"&amp;TEXT(B19-C19,"MM:SS"),"+"&amp;TEXT(B19-C19,"MM:SS"))</f>
        <v>#N/A</v>
      </c>
    </row>
    <row r="20" spans="1:4" x14ac:dyDescent="0.25">
      <c r="A20" s="66" t="str">
        <f>CoursesBasis!$F11&amp;CoursesBasis!Q$2</f>
        <v>D3GL</v>
      </c>
      <c r="B20" s="67">
        <f>CoursesBasis!$Q11</f>
        <v>2.4062500000000001E-2</v>
      </c>
      <c r="C20" s="67">
        <f t="shared" si="0"/>
        <v>1.9444444444444445E-2</v>
      </c>
      <c r="D20" s="67" t="str">
        <f>IF(B20-C20&gt;0,"-"&amp;TEXT(B20-C20,"MM:SS"),"+"&amp;TEXT(C20-B20,"MM:SS"))</f>
        <v>-06:39</v>
      </c>
    </row>
    <row r="21" spans="1:4" x14ac:dyDescent="0.25">
      <c r="A21" s="66" t="str">
        <f>CoursesBasis!$F11&amp;CoursesBasis!O$2</f>
        <v>D3KHR</v>
      </c>
      <c r="B21" s="67">
        <f>CoursesBasis!$O11</f>
        <v>2.0052083333333335E-2</v>
      </c>
      <c r="C21" s="67" t="e">
        <f t="shared" si="0"/>
        <v>#N/A</v>
      </c>
      <c r="D21" s="67" t="e">
        <f t="shared" ref="D21:D30" si="1">IF(B21-C21&gt;0,"-"&amp;TEXT(B21-C21,"MM:SS"),"+"&amp;TEXT(B21-C21,"MM:SS"))</f>
        <v>#N/A</v>
      </c>
    </row>
    <row r="22" spans="1:4" x14ac:dyDescent="0.25">
      <c r="A22" s="5" t="str">
        <f>CoursesBasis!$F11&amp;CoursesBasis!P$2</f>
        <v>D3KLB</v>
      </c>
      <c r="B22" s="56">
        <f>CoursesBasis!$P11</f>
        <v>2.3394097222222222E-2</v>
      </c>
      <c r="C22" s="67" t="e">
        <f t="shared" si="0"/>
        <v>#N/A</v>
      </c>
      <c r="D22" s="67" t="e">
        <f t="shared" si="1"/>
        <v>#N/A</v>
      </c>
    </row>
    <row r="23" spans="1:4" x14ac:dyDescent="0.25">
      <c r="A23" s="5" t="str">
        <f>CoursesBasis!$F11&amp;CoursesBasis!R$2</f>
        <v>D3L6</v>
      </c>
      <c r="B23" s="56">
        <f>CoursesBasis!$R11</f>
        <v>0</v>
      </c>
      <c r="C23" s="67" t="e">
        <f t="shared" si="0"/>
        <v>#N/A</v>
      </c>
      <c r="D23" s="67" t="e">
        <f t="shared" si="1"/>
        <v>#N/A</v>
      </c>
    </row>
    <row r="24" spans="1:4" x14ac:dyDescent="0.25">
      <c r="A24" s="66" t="str">
        <f>CoursesBasis!$F11&amp;CoursesBasis!M$2</f>
        <v>D3OB</v>
      </c>
      <c r="B24" s="67">
        <f>CoursesBasis!M11</f>
        <v>2.0720486111111117E-2</v>
      </c>
      <c r="C24" s="67" t="e">
        <f t="shared" si="0"/>
        <v>#N/A</v>
      </c>
      <c r="D24" s="67" t="e">
        <f t="shared" si="1"/>
        <v>#N/A</v>
      </c>
    </row>
    <row r="25" spans="1:4" x14ac:dyDescent="0.25">
      <c r="A25" s="5" t="str">
        <f>CoursesBasis!$F11&amp;CoursesBasis!N$2</f>
        <v>D3VB</v>
      </c>
      <c r="B25" s="56">
        <f>CoursesBasis!$N11</f>
        <v>2.4062500000000001E-2</v>
      </c>
      <c r="C25" s="67" t="e">
        <f t="shared" si="0"/>
        <v>#N/A</v>
      </c>
      <c r="D25" s="67" t="e">
        <f t="shared" si="1"/>
        <v>#N/A</v>
      </c>
    </row>
    <row r="26" spans="1:4" x14ac:dyDescent="0.25">
      <c r="A26" s="66" t="str">
        <f>CoursesBasis!$F12&amp;CoursesBasis!Q$2</f>
        <v>D4GL</v>
      </c>
      <c r="B26" s="67">
        <f>CoursesBasis!$Q12</f>
        <v>2.7809375000000001E-2</v>
      </c>
      <c r="C26" s="67" t="e">
        <f t="shared" si="0"/>
        <v>#N/A</v>
      </c>
      <c r="D26" s="67" t="e">
        <f t="shared" si="1"/>
        <v>#N/A</v>
      </c>
    </row>
    <row r="27" spans="1:4" x14ac:dyDescent="0.25">
      <c r="A27" s="66" t="str">
        <f>CoursesBasis!$F12&amp;CoursesBasis!O$2</f>
        <v>D4KHR</v>
      </c>
      <c r="B27" s="67">
        <f>CoursesBasis!$O12</f>
        <v>2.3174479166666668E-2</v>
      </c>
      <c r="C27" s="67" t="e">
        <f t="shared" si="0"/>
        <v>#N/A</v>
      </c>
      <c r="D27" s="67" t="e">
        <f t="shared" si="1"/>
        <v>#N/A</v>
      </c>
    </row>
    <row r="28" spans="1:4" x14ac:dyDescent="0.25">
      <c r="A28" s="5" t="str">
        <f>CoursesBasis!$F12&amp;CoursesBasis!P$2</f>
        <v>D4KLB</v>
      </c>
      <c r="B28" s="56">
        <f>CoursesBasis!$P12</f>
        <v>2.7036892361111113E-2</v>
      </c>
      <c r="C28" s="67" t="e">
        <f t="shared" si="0"/>
        <v>#N/A</v>
      </c>
      <c r="D28" s="67" t="e">
        <f t="shared" si="1"/>
        <v>#N/A</v>
      </c>
    </row>
    <row r="29" spans="1:4" x14ac:dyDescent="0.25">
      <c r="A29" s="5" t="str">
        <f>CoursesBasis!$F12&amp;CoursesBasis!R$2</f>
        <v>D4L6</v>
      </c>
      <c r="B29" s="56">
        <f>CoursesBasis!$R12</f>
        <v>0</v>
      </c>
      <c r="C29" s="67" t="e">
        <f t="shared" si="0"/>
        <v>#N/A</v>
      </c>
      <c r="D29" s="67" t="e">
        <f t="shared" si="1"/>
        <v>#N/A</v>
      </c>
    </row>
    <row r="30" spans="1:4" x14ac:dyDescent="0.25">
      <c r="A30" s="66" t="str">
        <f>CoursesBasis!$F12&amp;CoursesBasis!M$2</f>
        <v>D4OB</v>
      </c>
      <c r="B30" s="67">
        <f>CoursesBasis!M12</f>
        <v>2.3946961805555562E-2</v>
      </c>
      <c r="C30" s="67" t="e">
        <f t="shared" si="0"/>
        <v>#N/A</v>
      </c>
      <c r="D30" s="67" t="e">
        <f t="shared" si="1"/>
        <v>#N/A</v>
      </c>
    </row>
    <row r="31" spans="1:4" x14ac:dyDescent="0.25">
      <c r="A31" s="5" t="str">
        <f>CoursesBasis!$F12&amp;CoursesBasis!N$2</f>
        <v>D4VB</v>
      </c>
      <c r="B31" s="56">
        <f>CoursesBasis!$N12</f>
        <v>2.7809375000000001E-2</v>
      </c>
      <c r="C31" s="67">
        <f t="shared" si="0"/>
        <v>2.4247685185185181E-2</v>
      </c>
      <c r="D31" s="67" t="str">
        <f>IF(B31-C31&gt;0,"-"&amp;TEXT(B31-C31,"MM:SS"),"+"&amp;TEXT(C31-B31,"MM:SS"))</f>
        <v>-05:08</v>
      </c>
    </row>
    <row r="32" spans="1:4" x14ac:dyDescent="0.25">
      <c r="A32" s="66" t="str">
        <f>CoursesBasis!$F13&amp;CoursesBasis!Q$2</f>
        <v>D5GL</v>
      </c>
      <c r="B32" s="67">
        <f>CoursesBasis!$Q13</f>
        <v>3.0181249999999996E-2</v>
      </c>
      <c r="C32" s="67" t="e">
        <f t="shared" si="0"/>
        <v>#N/A</v>
      </c>
      <c r="D32" s="67" t="e">
        <f>IF(B32-C32&gt;0,"-"&amp;TEXT(B32-C32,"MM:SS"),"+"&amp;TEXT(B32-C32,"MM:SS"))</f>
        <v>#N/A</v>
      </c>
    </row>
    <row r="33" spans="1:4" x14ac:dyDescent="0.25">
      <c r="A33" s="66" t="str">
        <f>CoursesBasis!$F13&amp;CoursesBasis!O$2</f>
        <v>D5KHR</v>
      </c>
      <c r="B33" s="67">
        <f>CoursesBasis!$O13</f>
        <v>2.5151041666666665E-2</v>
      </c>
      <c r="C33" s="67" t="e">
        <f t="shared" si="0"/>
        <v>#N/A</v>
      </c>
      <c r="D33" s="67" t="e">
        <f>IF(B33-C33&gt;0,"-"&amp;TEXT(B33-C33,"MM:SS"),"+"&amp;TEXT(B33-C33,"MM:SS"))</f>
        <v>#N/A</v>
      </c>
    </row>
    <row r="34" spans="1:4" x14ac:dyDescent="0.25">
      <c r="A34" s="5" t="str">
        <f>CoursesBasis!$F13&amp;CoursesBasis!P$2</f>
        <v>D5KLB</v>
      </c>
      <c r="B34" s="56">
        <f>CoursesBasis!$P13</f>
        <v>2.9342881944444444E-2</v>
      </c>
      <c r="C34" s="67" t="e">
        <f t="shared" ref="C34:C65" si="2">VLOOKUP(A34,BahnLaufzeiten,14,FALSE)</f>
        <v>#N/A</v>
      </c>
      <c r="D34" s="67" t="e">
        <f>IF(B34-C34&gt;0,"-"&amp;TEXT(B34-C34,"MM:SS"),"+"&amp;TEXT(B34-C34,"MM:SS"))</f>
        <v>#N/A</v>
      </c>
    </row>
    <row r="35" spans="1:4" x14ac:dyDescent="0.25">
      <c r="A35" s="5" t="str">
        <f>CoursesBasis!$F13&amp;CoursesBasis!R$2</f>
        <v>D5L6</v>
      </c>
      <c r="B35" s="56">
        <f>CoursesBasis!$R13</f>
        <v>0</v>
      </c>
      <c r="C35" s="67" t="e">
        <f t="shared" si="2"/>
        <v>#N/A</v>
      </c>
      <c r="D35" s="67" t="e">
        <f>IF(B35-C35&gt;0,"-"&amp;TEXT(B35-C35,"MM:SS"),"+"&amp;TEXT(B35-C35,"MM:SS"))</f>
        <v>#N/A</v>
      </c>
    </row>
    <row r="36" spans="1:4" x14ac:dyDescent="0.25">
      <c r="A36" s="66" t="str">
        <f>CoursesBasis!$F13&amp;CoursesBasis!M$2</f>
        <v>D5OB</v>
      </c>
      <c r="B36" s="67">
        <f>CoursesBasis!M13</f>
        <v>2.5989409722222228E-2</v>
      </c>
      <c r="C36" s="67">
        <f t="shared" si="2"/>
        <v>3.2303240740740737E-2</v>
      </c>
      <c r="D36" s="67" t="str">
        <f>IF(B36-C36&gt;0,"-"&amp;TEXT(B36-C36,"MM:SS"),"+"&amp;TEXT(C36-B36,"MM:SS"))</f>
        <v>+09:06</v>
      </c>
    </row>
    <row r="37" spans="1:4" x14ac:dyDescent="0.25">
      <c r="A37" s="5" t="str">
        <f>CoursesBasis!$F13&amp;CoursesBasis!N$2</f>
        <v>D5VB</v>
      </c>
      <c r="B37" s="56">
        <f>CoursesBasis!$N13</f>
        <v>3.0181249999999996E-2</v>
      </c>
      <c r="C37" s="67" t="e">
        <f t="shared" si="2"/>
        <v>#N/A</v>
      </c>
      <c r="D37" s="67" t="e">
        <f>IF(B37-C37&gt;0,"-"&amp;TEXT(B37-C37,"MM:SS"),"+"&amp;TEXT(B37-C37,"MM:SS"))</f>
        <v>#N/A</v>
      </c>
    </row>
    <row r="38" spans="1:4" x14ac:dyDescent="0.25">
      <c r="A38" s="66" t="str">
        <f>CoursesBasis!$F14&amp;CoursesBasis!Q$2</f>
        <v>D6GL</v>
      </c>
      <c r="B38" s="67">
        <f>CoursesBasis!$Q14</f>
        <v>3.5234374999999998E-2</v>
      </c>
      <c r="C38" s="67" t="e">
        <f t="shared" si="2"/>
        <v>#N/A</v>
      </c>
      <c r="D38" s="67" t="e">
        <f>IF(B38-C38&gt;0,"-"&amp;TEXT(B38-C38,"MM:SS"),"+"&amp;TEXT(B38-C38,"MM:SS"))</f>
        <v>#N/A</v>
      </c>
    </row>
    <row r="39" spans="1:4" x14ac:dyDescent="0.25">
      <c r="A39" s="66" t="str">
        <f>CoursesBasis!$F14&amp;CoursesBasis!O$2</f>
        <v>D6KHR</v>
      </c>
      <c r="B39" s="67">
        <f>CoursesBasis!$O14</f>
        <v>2.936197916666667E-2</v>
      </c>
      <c r="C39" s="67">
        <f t="shared" si="2"/>
        <v>2.7893518518518515E-2</v>
      </c>
      <c r="D39" s="67" t="str">
        <f>IF(B39-C39&gt;0,"-"&amp;TEXT(B39-C39,"MM:SS"),"+"&amp;TEXT(C39-B39,"MM:SS"))</f>
        <v>-02:07</v>
      </c>
    </row>
    <row r="40" spans="1:4" x14ac:dyDescent="0.25">
      <c r="A40" s="5" t="str">
        <f>CoursesBasis!$F14&amp;CoursesBasis!P$2</f>
        <v>D6KLB</v>
      </c>
      <c r="B40" s="56">
        <f>CoursesBasis!$P14</f>
        <v>3.4255642361111116E-2</v>
      </c>
      <c r="C40" s="67" t="e">
        <f t="shared" si="2"/>
        <v>#N/A</v>
      </c>
      <c r="D40" s="67" t="e">
        <f t="shared" ref="D40:D45" si="3">IF(B40-C40&gt;0,"-"&amp;TEXT(B40-C40,"MM:SS"),"+"&amp;TEXT(B40-C40,"MM:SS"))</f>
        <v>#N/A</v>
      </c>
    </row>
    <row r="41" spans="1:4" x14ac:dyDescent="0.25">
      <c r="A41" s="5" t="str">
        <f>CoursesBasis!$F14&amp;CoursesBasis!R$2</f>
        <v>D6L6</v>
      </c>
      <c r="B41" s="56">
        <f>CoursesBasis!$R14</f>
        <v>0</v>
      </c>
      <c r="C41" s="67" t="e">
        <f t="shared" si="2"/>
        <v>#N/A</v>
      </c>
      <c r="D41" s="67" t="e">
        <f t="shared" si="3"/>
        <v>#N/A</v>
      </c>
    </row>
    <row r="42" spans="1:4" x14ac:dyDescent="0.25">
      <c r="A42" s="66" t="str">
        <f>CoursesBasis!$F14&amp;CoursesBasis!M$2</f>
        <v>D6OB</v>
      </c>
      <c r="B42" s="67">
        <f>CoursesBasis!M14</f>
        <v>3.0340711805555563E-2</v>
      </c>
      <c r="C42" s="67" t="e">
        <f t="shared" si="2"/>
        <v>#N/A</v>
      </c>
      <c r="D42" s="67" t="e">
        <f t="shared" si="3"/>
        <v>#N/A</v>
      </c>
    </row>
    <row r="43" spans="1:4" x14ac:dyDescent="0.25">
      <c r="A43" s="5" t="str">
        <f>CoursesBasis!$F14&amp;CoursesBasis!N$2</f>
        <v>D6VB</v>
      </c>
      <c r="B43" s="56">
        <f>CoursesBasis!$N14</f>
        <v>3.5234374999999998E-2</v>
      </c>
      <c r="C43" s="67" t="e">
        <f t="shared" si="2"/>
        <v>#N/A</v>
      </c>
      <c r="D43" s="67" t="e">
        <f t="shared" si="3"/>
        <v>#N/A</v>
      </c>
    </row>
    <row r="44" spans="1:4" x14ac:dyDescent="0.25">
      <c r="A44" s="66" t="str">
        <f>CoursesBasis!$F15&amp;CoursesBasis!Q$2</f>
        <v>D7GL</v>
      </c>
      <c r="B44" s="67">
        <f>CoursesBasis!$Q15</f>
        <v>4.3518750000000002E-2</v>
      </c>
      <c r="C44" s="67" t="e">
        <f t="shared" si="2"/>
        <v>#N/A</v>
      </c>
      <c r="D44" s="67" t="e">
        <f t="shared" si="3"/>
        <v>#N/A</v>
      </c>
    </row>
    <row r="45" spans="1:4" x14ac:dyDescent="0.25">
      <c r="A45" s="66" t="str">
        <f>CoursesBasis!$F15&amp;CoursesBasis!O$2</f>
        <v>D7KHR</v>
      </c>
      <c r="B45" s="67">
        <f>CoursesBasis!$O15</f>
        <v>3.6265625000000003E-2</v>
      </c>
      <c r="C45" s="67" t="e">
        <f t="shared" si="2"/>
        <v>#N/A</v>
      </c>
      <c r="D45" s="67" t="e">
        <f t="shared" si="3"/>
        <v>#N/A</v>
      </c>
    </row>
    <row r="46" spans="1:4" x14ac:dyDescent="0.25">
      <c r="A46" s="5" t="str">
        <f>CoursesBasis!$F15&amp;CoursesBasis!P$2</f>
        <v>D7KLB</v>
      </c>
      <c r="B46" s="56">
        <f>CoursesBasis!$P15</f>
        <v>4.230989583333334E-2</v>
      </c>
      <c r="C46" s="67">
        <f t="shared" si="2"/>
        <v>4.1504629629629627E-2</v>
      </c>
      <c r="D46" s="67" t="str">
        <f>IF(B46-C46&gt;0,"-"&amp;TEXT(B46-C46,"MM:SS"),"+"&amp;TEXT(C46-B46,"MM:SS"))</f>
        <v>-01:10</v>
      </c>
    </row>
    <row r="47" spans="1:4" x14ac:dyDescent="0.25">
      <c r="A47" s="5" t="str">
        <f>CoursesBasis!$F15&amp;CoursesBasis!R$2</f>
        <v>D7L6</v>
      </c>
      <c r="B47" s="56">
        <f>CoursesBasis!$R15</f>
        <v>0</v>
      </c>
      <c r="C47" s="67" t="e">
        <f t="shared" si="2"/>
        <v>#N/A</v>
      </c>
      <c r="D47" s="67" t="e">
        <f t="shared" ref="D47:D65" si="4">IF(B47-C47&gt;0,"-"&amp;TEXT(B47-C47,"MM:SS"),"+"&amp;TEXT(B47-C47,"MM:SS"))</f>
        <v>#N/A</v>
      </c>
    </row>
    <row r="48" spans="1:4" x14ac:dyDescent="0.25">
      <c r="A48" s="66" t="str">
        <f>CoursesBasis!$F15&amp;CoursesBasis!M$2</f>
        <v>D7OB</v>
      </c>
      <c r="B48" s="67">
        <f>CoursesBasis!M15</f>
        <v>3.7474479166666678E-2</v>
      </c>
      <c r="C48" s="67" t="e">
        <f t="shared" si="2"/>
        <v>#N/A</v>
      </c>
      <c r="D48" s="67" t="e">
        <f t="shared" si="4"/>
        <v>#N/A</v>
      </c>
    </row>
    <row r="49" spans="1:4" x14ac:dyDescent="0.25">
      <c r="A49" s="5" t="str">
        <f>CoursesBasis!$F15&amp;CoursesBasis!N$2</f>
        <v>D7VB</v>
      </c>
      <c r="B49" s="56">
        <f>CoursesBasis!$N15</f>
        <v>4.3518750000000002E-2</v>
      </c>
      <c r="C49" s="67" t="e">
        <f t="shared" si="2"/>
        <v>#N/A</v>
      </c>
      <c r="D49" s="67" t="e">
        <f t="shared" si="4"/>
        <v>#N/A</v>
      </c>
    </row>
    <row r="50" spans="1:4" x14ac:dyDescent="0.25">
      <c r="A50" s="66" t="str">
        <f>CoursesBasis!$F16&amp;CoursesBasis!Q$2</f>
        <v>D8GL</v>
      </c>
      <c r="B50" s="67">
        <f>CoursesBasis!$Q16</f>
        <v>5.1940624999999997E-2</v>
      </c>
      <c r="C50" s="67" t="e">
        <f t="shared" si="2"/>
        <v>#N/A</v>
      </c>
      <c r="D50" s="67" t="e">
        <f t="shared" si="4"/>
        <v>#N/A</v>
      </c>
    </row>
    <row r="51" spans="1:4" x14ac:dyDescent="0.25">
      <c r="A51" s="66" t="str">
        <f>CoursesBasis!$F16&amp;CoursesBasis!O$2</f>
        <v>D8KHR</v>
      </c>
      <c r="B51" s="67">
        <f>CoursesBasis!$O16</f>
        <v>4.328385416666667E-2</v>
      </c>
      <c r="C51" s="67" t="e">
        <f t="shared" si="2"/>
        <v>#N/A</v>
      </c>
      <c r="D51" s="67" t="e">
        <f t="shared" si="4"/>
        <v>#N/A</v>
      </c>
    </row>
    <row r="52" spans="1:4" x14ac:dyDescent="0.25">
      <c r="A52" s="5" t="str">
        <f>CoursesBasis!$F16&amp;CoursesBasis!P$2</f>
        <v>D8KLB</v>
      </c>
      <c r="B52" s="56">
        <f>CoursesBasis!$P16</f>
        <v>5.0497829861111114E-2</v>
      </c>
      <c r="C52" s="67" t="e">
        <f t="shared" si="2"/>
        <v>#N/A</v>
      </c>
      <c r="D52" s="67" t="e">
        <f t="shared" si="4"/>
        <v>#N/A</v>
      </c>
    </row>
    <row r="53" spans="1:4" x14ac:dyDescent="0.25">
      <c r="A53" s="5" t="str">
        <f>CoursesBasis!$F16&amp;CoursesBasis!R$2</f>
        <v>D8L6</v>
      </c>
      <c r="B53" s="56">
        <f>CoursesBasis!$R16</f>
        <v>0</v>
      </c>
      <c r="C53" s="67" t="e">
        <f t="shared" si="2"/>
        <v>#N/A</v>
      </c>
      <c r="D53" s="67" t="e">
        <f t="shared" si="4"/>
        <v>#N/A</v>
      </c>
    </row>
    <row r="54" spans="1:4" x14ac:dyDescent="0.25">
      <c r="A54" s="66" t="str">
        <f>CoursesBasis!$F16&amp;CoursesBasis!M$2</f>
        <v>D8OB</v>
      </c>
      <c r="B54" s="67">
        <f>CoursesBasis!M16</f>
        <v>4.4726649305555567E-2</v>
      </c>
      <c r="C54" s="67" t="e">
        <f t="shared" si="2"/>
        <v>#N/A</v>
      </c>
      <c r="D54" s="67" t="e">
        <f t="shared" si="4"/>
        <v>#N/A</v>
      </c>
    </row>
    <row r="55" spans="1:4" x14ac:dyDescent="0.25">
      <c r="A55" s="5" t="str">
        <f>CoursesBasis!$F16&amp;CoursesBasis!N$2</f>
        <v>D8VB</v>
      </c>
      <c r="B55" s="56">
        <f>CoursesBasis!$N16</f>
        <v>5.1940624999999997E-2</v>
      </c>
      <c r="C55" s="67" t="e">
        <f t="shared" si="2"/>
        <v>#N/A</v>
      </c>
      <c r="D55" s="67" t="e">
        <f t="shared" si="4"/>
        <v>#N/A</v>
      </c>
    </row>
    <row r="56" spans="1:4" x14ac:dyDescent="0.25">
      <c r="A56" s="66" t="str">
        <f>CoursesBasis!$F17&amp;CoursesBasis!Q$2</f>
        <v>D9GL</v>
      </c>
      <c r="B56" s="67">
        <f>CoursesBasis!$Q17</f>
        <v>5.7406249999999999E-2</v>
      </c>
      <c r="C56" s="67" t="e">
        <f t="shared" si="2"/>
        <v>#N/A</v>
      </c>
      <c r="D56" s="67" t="e">
        <f t="shared" si="4"/>
        <v>#N/A</v>
      </c>
    </row>
    <row r="57" spans="1:4" x14ac:dyDescent="0.25">
      <c r="A57" s="66" t="str">
        <f>CoursesBasis!$F17&amp;CoursesBasis!O$2</f>
        <v>D9KHR</v>
      </c>
      <c r="B57" s="67">
        <f>CoursesBasis!$O17</f>
        <v>4.7838541666666672E-2</v>
      </c>
      <c r="C57" s="67" t="e">
        <f t="shared" si="2"/>
        <v>#N/A</v>
      </c>
      <c r="D57" s="67" t="e">
        <f t="shared" si="4"/>
        <v>#N/A</v>
      </c>
    </row>
    <row r="58" spans="1:4" x14ac:dyDescent="0.25">
      <c r="A58" s="5" t="str">
        <f>CoursesBasis!$F17&amp;CoursesBasis!P$2</f>
        <v>D9KLB</v>
      </c>
      <c r="B58" s="56">
        <f>CoursesBasis!$P17</f>
        <v>5.5811631944444447E-2</v>
      </c>
      <c r="C58" s="67" t="e">
        <f t="shared" si="2"/>
        <v>#N/A</v>
      </c>
      <c r="D58" s="67" t="e">
        <f t="shared" si="4"/>
        <v>#N/A</v>
      </c>
    </row>
    <row r="59" spans="1:4" x14ac:dyDescent="0.25">
      <c r="A59" s="5" t="str">
        <f>CoursesBasis!$F17&amp;CoursesBasis!R$2</f>
        <v>D9L6</v>
      </c>
      <c r="B59" s="56">
        <f>CoursesBasis!$R17</f>
        <v>0</v>
      </c>
      <c r="C59" s="67" t="e">
        <f t="shared" si="2"/>
        <v>#N/A</v>
      </c>
      <c r="D59" s="67" t="e">
        <f t="shared" si="4"/>
        <v>#N/A</v>
      </c>
    </row>
    <row r="60" spans="1:4" x14ac:dyDescent="0.25">
      <c r="A60" s="66" t="str">
        <f>CoursesBasis!$F17&amp;CoursesBasis!M$2</f>
        <v>D9OB</v>
      </c>
      <c r="B60" s="67">
        <f>CoursesBasis!M17</f>
        <v>4.9433159722222238E-2</v>
      </c>
      <c r="C60" s="67" t="e">
        <f t="shared" si="2"/>
        <v>#N/A</v>
      </c>
      <c r="D60" s="67" t="e">
        <f t="shared" si="4"/>
        <v>#N/A</v>
      </c>
    </row>
    <row r="61" spans="1:4" x14ac:dyDescent="0.25">
      <c r="A61" s="5" t="str">
        <f>CoursesBasis!$F17&amp;CoursesBasis!N$2</f>
        <v>D9VB</v>
      </c>
      <c r="B61" s="56">
        <f>CoursesBasis!$N17</f>
        <v>5.7406249999999999E-2</v>
      </c>
      <c r="C61" s="67" t="e">
        <f t="shared" si="2"/>
        <v>#N/A</v>
      </c>
      <c r="D61" s="67" t="e">
        <f t="shared" si="4"/>
        <v>#N/A</v>
      </c>
    </row>
    <row r="62" spans="1:4" x14ac:dyDescent="0.25">
      <c r="A62" s="66" t="str">
        <f>CoursesBasis!$F21&amp;CoursesBasis!Q$2</f>
        <v>E1GL</v>
      </c>
      <c r="B62" s="67">
        <f>CoursesBasis!$Q21</f>
        <v>1.6481249999999999E-2</v>
      </c>
      <c r="C62" s="67" t="e">
        <f t="shared" si="2"/>
        <v>#N/A</v>
      </c>
      <c r="D62" s="67" t="e">
        <f t="shared" si="4"/>
        <v>#N/A</v>
      </c>
    </row>
    <row r="63" spans="1:4" x14ac:dyDescent="0.25">
      <c r="A63" s="66" t="str">
        <f>CoursesBasis!$F21&amp;CoursesBasis!O$2</f>
        <v>E1KHR</v>
      </c>
      <c r="B63" s="67">
        <f>CoursesBasis!$O21</f>
        <v>1.3734374999999998E-2</v>
      </c>
      <c r="C63" s="67" t="e">
        <f t="shared" si="2"/>
        <v>#N/A</v>
      </c>
      <c r="D63" s="67" t="e">
        <f t="shared" si="4"/>
        <v>#N/A</v>
      </c>
    </row>
    <row r="64" spans="1:4" x14ac:dyDescent="0.25">
      <c r="A64" s="5" t="str">
        <f>CoursesBasis!$F21&amp;CoursesBasis!P$2</f>
        <v>E1KLB</v>
      </c>
      <c r="B64" s="56">
        <f>CoursesBasis!$P21</f>
        <v>1.6023437500000001E-2</v>
      </c>
      <c r="C64" s="67" t="e">
        <f t="shared" si="2"/>
        <v>#N/A</v>
      </c>
      <c r="D64" s="67" t="e">
        <f t="shared" si="4"/>
        <v>#N/A</v>
      </c>
    </row>
    <row r="65" spans="1:4" x14ac:dyDescent="0.25">
      <c r="A65" s="5" t="str">
        <f>CoursesBasis!$F21&amp;CoursesBasis!R$2</f>
        <v>E1L6</v>
      </c>
      <c r="B65" s="56">
        <f>CoursesBasis!$R21</f>
        <v>0</v>
      </c>
      <c r="C65" s="67" t="e">
        <f t="shared" si="2"/>
        <v>#N/A</v>
      </c>
      <c r="D65" s="67" t="e">
        <f t="shared" si="4"/>
        <v>#N/A</v>
      </c>
    </row>
    <row r="66" spans="1:4" x14ac:dyDescent="0.25">
      <c r="A66" s="66" t="str">
        <f>CoursesBasis!$F21&amp;CoursesBasis!M$2</f>
        <v>E1OB</v>
      </c>
      <c r="B66" s="67">
        <f>CoursesBasis!M21</f>
        <v>1.4192187500000002E-2</v>
      </c>
      <c r="C66" s="67" t="e">
        <f t="shared" ref="C66:C97" si="5">VLOOKUP(A66,BahnLaufzeiten,14,FALSE)</f>
        <v>#N/A</v>
      </c>
      <c r="D66" s="67" t="e">
        <f>IF(B66-C66&gt;0,"-"&amp;TEXT(B66-C66,"MM:SS"),"+"&amp;TEXT(C66-B66,"MM:SS"))</f>
        <v>#N/A</v>
      </c>
    </row>
    <row r="67" spans="1:4" x14ac:dyDescent="0.25">
      <c r="A67" s="5" t="str">
        <f>CoursesBasis!$F21&amp;CoursesBasis!N$2</f>
        <v>E1VB</v>
      </c>
      <c r="B67" s="56">
        <f>CoursesBasis!$N21</f>
        <v>1.6481249999999999E-2</v>
      </c>
      <c r="C67" s="67">
        <f t="shared" si="5"/>
        <v>1.329861111111111E-2</v>
      </c>
      <c r="D67" s="67" t="str">
        <f>IF(B67-C67&gt;0,"-"&amp;TEXT(B67-C67,"MM:SS"),"+"&amp;TEXT(B67-C67,"MM:SS"))</f>
        <v>-04:35</v>
      </c>
    </row>
    <row r="68" spans="1:4" x14ac:dyDescent="0.25">
      <c r="A68" s="66" t="str">
        <f>CoursesBasis!$F22&amp;CoursesBasis!Q$2</f>
        <v>E2GL</v>
      </c>
      <c r="B68" s="67">
        <f>CoursesBasis!$Q22</f>
        <v>2.1431249999999999E-2</v>
      </c>
      <c r="C68" s="67">
        <f t="shared" si="5"/>
        <v>1.8958333333333334E-2</v>
      </c>
      <c r="D68" s="67" t="str">
        <f>IF(B68-C68&gt;0,"-"&amp;TEXT(B68-C68,"MM:SS"),"+"&amp;TEXT(C68-B68,"MM:SS"))</f>
        <v>-03:34</v>
      </c>
    </row>
    <row r="69" spans="1:4" x14ac:dyDescent="0.25">
      <c r="A69" s="66" t="str">
        <f>CoursesBasis!$F22&amp;CoursesBasis!O$2</f>
        <v>E2KHR</v>
      </c>
      <c r="B69" s="67">
        <f>CoursesBasis!$O22</f>
        <v>1.7859375E-2</v>
      </c>
      <c r="C69" s="67" t="e">
        <f t="shared" si="5"/>
        <v>#N/A</v>
      </c>
      <c r="D69" s="67" t="e">
        <f t="shared" ref="D69:D78" si="6">IF(B69-C69&gt;0,"-"&amp;TEXT(B69-C69,"MM:SS"),"+"&amp;TEXT(B69-C69,"MM:SS"))</f>
        <v>#N/A</v>
      </c>
    </row>
    <row r="70" spans="1:4" x14ac:dyDescent="0.25">
      <c r="A70" s="5" t="str">
        <f>CoursesBasis!$F22&amp;CoursesBasis!P$2</f>
        <v>E2KLB</v>
      </c>
      <c r="B70" s="56">
        <f>CoursesBasis!$P22</f>
        <v>2.0835937500000002E-2</v>
      </c>
      <c r="C70" s="67" t="e">
        <f t="shared" si="5"/>
        <v>#N/A</v>
      </c>
      <c r="D70" s="67" t="e">
        <f t="shared" si="6"/>
        <v>#N/A</v>
      </c>
    </row>
    <row r="71" spans="1:4" x14ac:dyDescent="0.25">
      <c r="A71" s="5" t="str">
        <f>CoursesBasis!$F22&amp;CoursesBasis!R$2</f>
        <v>E2L6</v>
      </c>
      <c r="B71" s="56">
        <f>CoursesBasis!$R22</f>
        <v>0</v>
      </c>
      <c r="C71" s="67" t="e">
        <f t="shared" si="5"/>
        <v>#N/A</v>
      </c>
      <c r="D71" s="67" t="e">
        <f t="shared" si="6"/>
        <v>#N/A</v>
      </c>
    </row>
    <row r="72" spans="1:4" x14ac:dyDescent="0.25">
      <c r="A72" s="66" t="str">
        <f>CoursesBasis!$F22&amp;CoursesBasis!M$2</f>
        <v>E2OB</v>
      </c>
      <c r="B72" s="67">
        <f>CoursesBasis!M22</f>
        <v>1.8454687500000004E-2</v>
      </c>
      <c r="C72" s="67" t="e">
        <f t="shared" si="5"/>
        <v>#N/A</v>
      </c>
      <c r="D72" s="67" t="e">
        <f t="shared" si="6"/>
        <v>#N/A</v>
      </c>
    </row>
    <row r="73" spans="1:4" x14ac:dyDescent="0.25">
      <c r="A73" s="5" t="str">
        <f>CoursesBasis!$F22&amp;CoursesBasis!N$2</f>
        <v>E2VB</v>
      </c>
      <c r="B73" s="56">
        <f>CoursesBasis!$N22</f>
        <v>2.1431249999999999E-2</v>
      </c>
      <c r="C73" s="67" t="e">
        <f t="shared" si="5"/>
        <v>#N/A</v>
      </c>
      <c r="D73" s="67" t="e">
        <f t="shared" si="6"/>
        <v>#N/A</v>
      </c>
    </row>
    <row r="74" spans="1:4" x14ac:dyDescent="0.25">
      <c r="A74" s="66" t="str">
        <f>CoursesBasis!$F23&amp;CoursesBasis!Q$2</f>
        <v>E3GL</v>
      </c>
      <c r="B74" s="67">
        <f>CoursesBasis!$Q23</f>
        <v>2.2106249999999997E-2</v>
      </c>
      <c r="C74" s="67" t="e">
        <f t="shared" si="5"/>
        <v>#N/A</v>
      </c>
      <c r="D74" s="67" t="e">
        <f t="shared" si="6"/>
        <v>#N/A</v>
      </c>
    </row>
    <row r="75" spans="1:4" x14ac:dyDescent="0.25">
      <c r="A75" s="66" t="str">
        <f>CoursesBasis!$F23&amp;CoursesBasis!O$2</f>
        <v>E3KHR</v>
      </c>
      <c r="B75" s="67">
        <f>CoursesBasis!$O23</f>
        <v>1.8421874999999997E-2</v>
      </c>
      <c r="C75" s="67" t="e">
        <f t="shared" si="5"/>
        <v>#N/A</v>
      </c>
      <c r="D75" s="67" t="e">
        <f t="shared" si="6"/>
        <v>#N/A</v>
      </c>
    </row>
    <row r="76" spans="1:4" x14ac:dyDescent="0.25">
      <c r="A76" s="5" t="str">
        <f>CoursesBasis!$F23&amp;CoursesBasis!P$2</f>
        <v>E3KLB</v>
      </c>
      <c r="B76" s="56">
        <f>CoursesBasis!$P23</f>
        <v>2.1492187499999999E-2</v>
      </c>
      <c r="C76" s="67" t="e">
        <f t="shared" si="5"/>
        <v>#N/A</v>
      </c>
      <c r="D76" s="67" t="e">
        <f t="shared" si="6"/>
        <v>#N/A</v>
      </c>
    </row>
    <row r="77" spans="1:4" x14ac:dyDescent="0.25">
      <c r="A77" s="5" t="str">
        <f>CoursesBasis!$F23&amp;CoursesBasis!R$2</f>
        <v>E3L6</v>
      </c>
      <c r="B77" s="56">
        <f>CoursesBasis!$R23</f>
        <v>0</v>
      </c>
      <c r="C77" s="67" t="e">
        <f t="shared" si="5"/>
        <v>#N/A</v>
      </c>
      <c r="D77" s="67" t="e">
        <f t="shared" si="6"/>
        <v>#N/A</v>
      </c>
    </row>
    <row r="78" spans="1:4" x14ac:dyDescent="0.25">
      <c r="A78" s="66" t="str">
        <f>CoursesBasis!$F23&amp;CoursesBasis!M$2</f>
        <v>E3OB</v>
      </c>
      <c r="B78" s="67">
        <f>CoursesBasis!M23</f>
        <v>1.9035937500000003E-2</v>
      </c>
      <c r="C78" s="67" t="e">
        <f t="shared" si="5"/>
        <v>#N/A</v>
      </c>
      <c r="D78" s="67" t="e">
        <f t="shared" si="6"/>
        <v>#N/A</v>
      </c>
    </row>
    <row r="79" spans="1:4" x14ac:dyDescent="0.25">
      <c r="A79" s="5" t="str">
        <f>CoursesBasis!$F23&amp;CoursesBasis!N$2</f>
        <v>E3VB</v>
      </c>
      <c r="B79" s="56">
        <f>CoursesBasis!$N23</f>
        <v>2.2106249999999997E-2</v>
      </c>
      <c r="C79" s="67">
        <f t="shared" si="5"/>
        <v>1.9351851851851853E-2</v>
      </c>
      <c r="D79" s="67" t="str">
        <f>IF(B79-C79&gt;0,"-"&amp;TEXT(B79-C79,"MM:SS"),"+"&amp;TEXT(C79-B79,"MM:SS"))</f>
        <v>-03:58</v>
      </c>
    </row>
    <row r="80" spans="1:4" x14ac:dyDescent="0.25">
      <c r="A80" s="66" t="str">
        <f>CoursesBasis!$F24&amp;CoursesBasis!Q$2</f>
        <v>E4GL</v>
      </c>
      <c r="B80" s="67">
        <f>CoursesBasis!$Q24</f>
        <v>2.7393749999999998E-2</v>
      </c>
      <c r="C80" s="67" t="e">
        <f t="shared" si="5"/>
        <v>#N/A</v>
      </c>
      <c r="D80" s="67" t="e">
        <f>IF(B80-C80&gt;0,"-"&amp;TEXT(B80-C80,"MM:SS"),"+"&amp;TEXT(B80-C80,"MM:SS"))</f>
        <v>#N/A</v>
      </c>
    </row>
    <row r="81" spans="1:4" x14ac:dyDescent="0.25">
      <c r="A81" s="66" t="str">
        <f>CoursesBasis!$F24&amp;CoursesBasis!O$2</f>
        <v>E4KHR</v>
      </c>
      <c r="B81" s="67">
        <f>CoursesBasis!$O24</f>
        <v>2.2828125000000001E-2</v>
      </c>
      <c r="C81" s="67" t="e">
        <f t="shared" si="5"/>
        <v>#N/A</v>
      </c>
      <c r="D81" s="67" t="e">
        <f>IF(B81-C81&gt;0,"-"&amp;TEXT(B81-C81,"MM:SS"),"+"&amp;TEXT(B81-C81,"MM:SS"))</f>
        <v>#N/A</v>
      </c>
    </row>
    <row r="82" spans="1:4" x14ac:dyDescent="0.25">
      <c r="A82" s="5" t="str">
        <f>CoursesBasis!$F24&amp;CoursesBasis!P$2</f>
        <v>E4KLB</v>
      </c>
      <c r="B82" s="56">
        <f>CoursesBasis!$P24</f>
        <v>2.6632812500000002E-2</v>
      </c>
      <c r="C82" s="67">
        <f t="shared" si="5"/>
        <v>2.5405092592592594E-2</v>
      </c>
      <c r="D82" s="67" t="str">
        <f>IF(B82-C82&gt;0,"-"&amp;TEXT(B82-C82,"MM:SS"),"+"&amp;TEXT(C82-B82,"MM:SS"))</f>
        <v>-01:46</v>
      </c>
    </row>
    <row r="83" spans="1:4" x14ac:dyDescent="0.25">
      <c r="A83" s="5" t="str">
        <f>CoursesBasis!$F24&amp;CoursesBasis!R$2</f>
        <v>E4L6</v>
      </c>
      <c r="B83" s="56">
        <f>CoursesBasis!$R24</f>
        <v>0</v>
      </c>
      <c r="C83" s="67" t="e">
        <f t="shared" si="5"/>
        <v>#N/A</v>
      </c>
      <c r="D83" s="67" t="e">
        <f t="shared" ref="D83:D90" si="7">IF(B83-C83&gt;0,"-"&amp;TEXT(B83-C83,"MM:SS"),"+"&amp;TEXT(B83-C83,"MM:SS"))</f>
        <v>#N/A</v>
      </c>
    </row>
    <row r="84" spans="1:4" x14ac:dyDescent="0.25">
      <c r="A84" s="66" t="str">
        <f>CoursesBasis!$F24&amp;CoursesBasis!M$2</f>
        <v>E4OB</v>
      </c>
      <c r="B84" s="67">
        <f>CoursesBasis!M24</f>
        <v>2.3589062500000004E-2</v>
      </c>
      <c r="C84" s="67" t="e">
        <f t="shared" si="5"/>
        <v>#N/A</v>
      </c>
      <c r="D84" s="67" t="e">
        <f t="shared" si="7"/>
        <v>#N/A</v>
      </c>
    </row>
    <row r="85" spans="1:4" x14ac:dyDescent="0.25">
      <c r="A85" s="5" t="str">
        <f>CoursesBasis!$F24&amp;CoursesBasis!N$2</f>
        <v>E4VB</v>
      </c>
      <c r="B85" s="56">
        <f>CoursesBasis!$N24</f>
        <v>2.7393749999999998E-2</v>
      </c>
      <c r="C85" s="67" t="e">
        <f t="shared" si="5"/>
        <v>#N/A</v>
      </c>
      <c r="D85" s="67" t="e">
        <f t="shared" si="7"/>
        <v>#N/A</v>
      </c>
    </row>
    <row r="86" spans="1:4" x14ac:dyDescent="0.25">
      <c r="A86" s="66" t="str">
        <f>CoursesBasis!$F25&amp;CoursesBasis!Q$2</f>
        <v>E5GL</v>
      </c>
      <c r="B86" s="67">
        <f>CoursesBasis!$Q25</f>
        <v>2.8434374999999998E-2</v>
      </c>
      <c r="C86" s="67" t="e">
        <f t="shared" si="5"/>
        <v>#N/A</v>
      </c>
      <c r="D86" s="67" t="e">
        <f t="shared" si="7"/>
        <v>#N/A</v>
      </c>
    </row>
    <row r="87" spans="1:4" x14ac:dyDescent="0.25">
      <c r="A87" s="66" t="str">
        <f>CoursesBasis!$F25&amp;CoursesBasis!O$2</f>
        <v>E5KHR</v>
      </c>
      <c r="B87" s="67">
        <f>CoursesBasis!$O25</f>
        <v>2.3695312499999999E-2</v>
      </c>
      <c r="C87" s="67" t="e">
        <f t="shared" si="5"/>
        <v>#N/A</v>
      </c>
      <c r="D87" s="67" t="e">
        <f t="shared" si="7"/>
        <v>#N/A</v>
      </c>
    </row>
    <row r="88" spans="1:4" x14ac:dyDescent="0.25">
      <c r="A88" s="5" t="str">
        <f>CoursesBasis!$F25&amp;CoursesBasis!P$2</f>
        <v>E5KLB</v>
      </c>
      <c r="B88" s="56">
        <f>CoursesBasis!$P25</f>
        <v>2.764453125E-2</v>
      </c>
      <c r="C88" s="67" t="e">
        <f t="shared" si="5"/>
        <v>#N/A</v>
      </c>
      <c r="D88" s="67" t="e">
        <f t="shared" si="7"/>
        <v>#N/A</v>
      </c>
    </row>
    <row r="89" spans="1:4" x14ac:dyDescent="0.25">
      <c r="A89" s="5" t="str">
        <f>CoursesBasis!$F25&amp;CoursesBasis!R$2</f>
        <v>E5L6</v>
      </c>
      <c r="B89" s="56">
        <f>CoursesBasis!$R25</f>
        <v>0</v>
      </c>
      <c r="C89" s="67" t="e">
        <f t="shared" si="5"/>
        <v>#N/A</v>
      </c>
      <c r="D89" s="67" t="e">
        <f t="shared" si="7"/>
        <v>#N/A</v>
      </c>
    </row>
    <row r="90" spans="1:4" x14ac:dyDescent="0.25">
      <c r="A90" s="66" t="str">
        <f>CoursesBasis!$F25&amp;CoursesBasis!M$2</f>
        <v>E5OB</v>
      </c>
      <c r="B90" s="67">
        <f>CoursesBasis!M25</f>
        <v>2.4485156250000004E-2</v>
      </c>
      <c r="C90" s="67" t="e">
        <f t="shared" si="5"/>
        <v>#N/A</v>
      </c>
      <c r="D90" s="67" t="e">
        <f t="shared" si="7"/>
        <v>#N/A</v>
      </c>
    </row>
    <row r="91" spans="1:4" x14ac:dyDescent="0.25">
      <c r="A91" s="5" t="str">
        <f>CoursesBasis!$F25&amp;CoursesBasis!N$2</f>
        <v>E5VB</v>
      </c>
      <c r="B91" s="56">
        <f>CoursesBasis!$N25</f>
        <v>2.8434374999999998E-2</v>
      </c>
      <c r="C91" s="67">
        <f t="shared" si="5"/>
        <v>2.6446759259259264E-2</v>
      </c>
      <c r="D91" s="67" t="str">
        <f>IF(B91-C91&gt;0,"-"&amp;TEXT(B91-C91,"MM:SS"),"+"&amp;TEXT(C91-B91,"MM:SS"))</f>
        <v>-02:52</v>
      </c>
    </row>
    <row r="92" spans="1:4" x14ac:dyDescent="0.25">
      <c r="A92" s="66" t="str">
        <f>CoursesBasis!$F26&amp;CoursesBasis!Q$2</f>
        <v>E6GL</v>
      </c>
      <c r="B92" s="67">
        <f>CoursesBasis!$Q26</f>
        <v>3.5268749999999995E-2</v>
      </c>
      <c r="C92" s="67" t="e">
        <f t="shared" si="5"/>
        <v>#N/A</v>
      </c>
      <c r="D92" s="67" t="e">
        <f>IF(B92-C92&gt;0,"-"&amp;TEXT(B92-C92,"MM:SS"),"+"&amp;TEXT(B92-C92,"MM:SS"))</f>
        <v>#N/A</v>
      </c>
    </row>
    <row r="93" spans="1:4" x14ac:dyDescent="0.25">
      <c r="A93" s="66" t="str">
        <f>CoursesBasis!$F26&amp;CoursesBasis!O$2</f>
        <v>E6KHR</v>
      </c>
      <c r="B93" s="67">
        <f>CoursesBasis!$O26</f>
        <v>2.9390624999999997E-2</v>
      </c>
      <c r="C93" s="67" t="e">
        <f t="shared" si="5"/>
        <v>#N/A</v>
      </c>
      <c r="D93" s="67" t="e">
        <f>IF(B93-C93&gt;0,"-"&amp;TEXT(B93-C93,"MM:SS"),"+"&amp;TEXT(B93-C93,"MM:SS"))</f>
        <v>#N/A</v>
      </c>
    </row>
    <row r="94" spans="1:4" x14ac:dyDescent="0.25">
      <c r="A94" s="5" t="str">
        <f>CoursesBasis!$F26&amp;CoursesBasis!P$2</f>
        <v>E6KLB</v>
      </c>
      <c r="B94" s="56">
        <f>CoursesBasis!$P26</f>
        <v>3.4289062500000002E-2</v>
      </c>
      <c r="C94" s="67" t="e">
        <f t="shared" si="5"/>
        <v>#N/A</v>
      </c>
      <c r="D94" s="67" t="e">
        <f>IF(B94-C94&gt;0,"-"&amp;TEXT(B94-C94,"MM:SS"),"+"&amp;TEXT(B94-C94,"MM:SS"))</f>
        <v>#N/A</v>
      </c>
    </row>
    <row r="95" spans="1:4" x14ac:dyDescent="0.25">
      <c r="A95" s="5" t="str">
        <f>CoursesBasis!$F26&amp;CoursesBasis!R$2</f>
        <v>E6L6</v>
      </c>
      <c r="B95" s="56">
        <f>CoursesBasis!$R26</f>
        <v>0</v>
      </c>
      <c r="C95" s="67" t="e">
        <f t="shared" si="5"/>
        <v>#N/A</v>
      </c>
      <c r="D95" s="67" t="e">
        <f>IF(B95-C95&gt;0,"-"&amp;TEXT(B95-C95,"MM:SS"),"+"&amp;TEXT(B95-C95,"MM:SS"))</f>
        <v>#N/A</v>
      </c>
    </row>
    <row r="96" spans="1:4" x14ac:dyDescent="0.25">
      <c r="A96" s="66" t="str">
        <f>CoursesBasis!$F26&amp;CoursesBasis!M$2</f>
        <v>E6OB</v>
      </c>
      <c r="B96" s="67">
        <f>CoursesBasis!M26</f>
        <v>3.0370312500000003E-2</v>
      </c>
      <c r="C96" s="67">
        <f t="shared" si="5"/>
        <v>3.1631944444444442E-2</v>
      </c>
      <c r="D96" s="67" t="str">
        <f>IF(B96-C96&gt;0,"-"&amp;TEXT(B96-C96,"MM:SS"),"+"&amp;TEXT(C96-B96,"MM:SS"))</f>
        <v>+01:49</v>
      </c>
    </row>
    <row r="97" spans="1:4" x14ac:dyDescent="0.25">
      <c r="A97" s="5" t="str">
        <f>CoursesBasis!$F26&amp;CoursesBasis!N$2</f>
        <v>E6VB</v>
      </c>
      <c r="B97" s="56">
        <f>CoursesBasis!$N26</f>
        <v>3.5268749999999995E-2</v>
      </c>
      <c r="C97" s="67" t="e">
        <f t="shared" si="5"/>
        <v>#N/A</v>
      </c>
      <c r="D97" s="67" t="e">
        <f>IF(B97-C97&gt;0,"-"&amp;TEXT(B97-C97,"MM:SS"),"+"&amp;TEXT(B97-C97,"MM:SS"))</f>
        <v>#N/A</v>
      </c>
    </row>
    <row r="98" spans="1:4" x14ac:dyDescent="0.25">
      <c r="A98" s="66" t="str">
        <f>CoursesBasis!$F27&amp;CoursesBasis!Q$2</f>
        <v>E7GL</v>
      </c>
      <c r="B98" s="67">
        <f>CoursesBasis!$Q27</f>
        <v>4.0753125000000001E-2</v>
      </c>
      <c r="C98" s="67" t="e">
        <f t="shared" ref="C98:C129" si="8">VLOOKUP(A98,BahnLaufzeiten,14,FALSE)</f>
        <v>#N/A</v>
      </c>
      <c r="D98" s="67" t="e">
        <f>IF(B98-C98&gt;0,"-"&amp;TEXT(B98-C98,"MM:SS"),"+"&amp;TEXT(B98-C98,"MM:SS"))</f>
        <v>#N/A</v>
      </c>
    </row>
    <row r="99" spans="1:4" x14ac:dyDescent="0.25">
      <c r="A99" s="66" t="str">
        <f>CoursesBasis!$F27&amp;CoursesBasis!O$2</f>
        <v>E7KHR</v>
      </c>
      <c r="B99" s="67">
        <f>CoursesBasis!$O27</f>
        <v>3.3960937499999996E-2</v>
      </c>
      <c r="C99" s="67">
        <f t="shared" si="8"/>
        <v>3.4444444444444444E-2</v>
      </c>
      <c r="D99" s="67" t="str">
        <f>IF(B99-C99&gt;0,"-"&amp;TEXT(B99-C99,"MM:SS"),"+"&amp;TEXT(C99-B99,"MM:SS"))</f>
        <v>+00:42</v>
      </c>
    </row>
    <row r="100" spans="1:4" x14ac:dyDescent="0.25">
      <c r="A100" s="5" t="str">
        <f>CoursesBasis!$F27&amp;CoursesBasis!P$2</f>
        <v>E7KLB</v>
      </c>
      <c r="B100" s="56">
        <f>CoursesBasis!$P27</f>
        <v>3.9621093750000003E-2</v>
      </c>
      <c r="C100" s="67" t="e">
        <f t="shared" si="8"/>
        <v>#N/A</v>
      </c>
      <c r="D100" s="67" t="e">
        <f>IF(B100-C100&gt;0,"-"&amp;TEXT(B100-C100,"MM:SS"),"+"&amp;TEXT(B100-C100,"MM:SS"))</f>
        <v>#N/A</v>
      </c>
    </row>
    <row r="101" spans="1:4" x14ac:dyDescent="0.25">
      <c r="A101" s="5" t="str">
        <f>CoursesBasis!$F27&amp;CoursesBasis!R$2</f>
        <v>E7L6</v>
      </c>
      <c r="B101" s="56">
        <f>CoursesBasis!$R27</f>
        <v>0</v>
      </c>
      <c r="C101" s="67" t="e">
        <f t="shared" si="8"/>
        <v>#N/A</v>
      </c>
      <c r="D101" s="67" t="e">
        <f>IF(B101-C101&gt;0,"-"&amp;TEXT(B101-C101,"MM:SS"),"+"&amp;TEXT(B101-C101,"MM:SS"))</f>
        <v>#N/A</v>
      </c>
    </row>
    <row r="102" spans="1:4" x14ac:dyDescent="0.25">
      <c r="A102" s="66" t="str">
        <f>CoursesBasis!$F27&amp;CoursesBasis!M$2</f>
        <v>E7OB</v>
      </c>
      <c r="B102" s="67">
        <f>CoursesBasis!M27</f>
        <v>3.5092968750000009E-2</v>
      </c>
      <c r="C102" s="67" t="e">
        <f t="shared" si="8"/>
        <v>#N/A</v>
      </c>
      <c r="D102" s="67" t="e">
        <f>IF(B102-C102&gt;0,"-"&amp;TEXT(B102-C102,"MM:SS"),"+"&amp;TEXT(B102-C102,"MM:SS"))</f>
        <v>#N/A</v>
      </c>
    </row>
    <row r="103" spans="1:4" x14ac:dyDescent="0.25">
      <c r="A103" s="5" t="str">
        <f>CoursesBasis!$F27&amp;CoursesBasis!N$2</f>
        <v>E7VB</v>
      </c>
      <c r="B103" s="56">
        <f>CoursesBasis!$N27</f>
        <v>4.0753125000000001E-2</v>
      </c>
      <c r="C103" s="67" t="e">
        <f t="shared" si="8"/>
        <v>#N/A</v>
      </c>
      <c r="D103" s="67" t="e">
        <f>IF(B103-C103&gt;0,"-"&amp;TEXT(B103-C103,"MM:SS"),"+"&amp;TEXT(B103-C103,"MM:SS"))</f>
        <v>#N/A</v>
      </c>
    </row>
    <row r="104" spans="1:4" x14ac:dyDescent="0.25">
      <c r="A104" s="66" t="str">
        <f>CoursesBasis!$F28&amp;CoursesBasis!Q$2</f>
        <v>E8GL</v>
      </c>
      <c r="B104" s="67">
        <f>CoursesBasis!$Q28</f>
        <v>4.460625E-2</v>
      </c>
      <c r="C104" s="67" t="e">
        <f t="shared" si="8"/>
        <v>#N/A</v>
      </c>
      <c r="D104" s="67" t="e">
        <f>IF(B104-C104&gt;0,"-"&amp;TEXT(B104-C104,"MM:SS"),"+"&amp;TEXT(B104-C104,"MM:SS"))</f>
        <v>#N/A</v>
      </c>
    </row>
    <row r="105" spans="1:4" x14ac:dyDescent="0.25">
      <c r="A105" s="66" t="str">
        <f>CoursesBasis!$F28&amp;CoursesBasis!O$2</f>
        <v>E8KHR</v>
      </c>
      <c r="B105" s="67">
        <f>CoursesBasis!$O28</f>
        <v>3.7171875E-2</v>
      </c>
      <c r="C105" s="67">
        <f t="shared" si="8"/>
        <v>3.7418981481481477E-2</v>
      </c>
      <c r="D105" s="67" t="str">
        <f>IF(B105-C105&gt;0,"-"&amp;TEXT(B105-C105,"MM:SS"),"+"&amp;TEXT(C105-B105,"MM:SS"))</f>
        <v>+00:21</v>
      </c>
    </row>
    <row r="106" spans="1:4" x14ac:dyDescent="0.25">
      <c r="A106" s="5" t="str">
        <f>CoursesBasis!$F28&amp;CoursesBasis!P$2</f>
        <v>E8KLB</v>
      </c>
      <c r="B106" s="56">
        <f>CoursesBasis!$P28</f>
        <v>4.3367187500000008E-2</v>
      </c>
      <c r="C106" s="67" t="e">
        <f t="shared" si="8"/>
        <v>#N/A</v>
      </c>
      <c r="D106" s="67" t="e">
        <f t="shared" ref="D106:D122" si="9">IF(B106-C106&gt;0,"-"&amp;TEXT(B106-C106,"MM:SS"),"+"&amp;TEXT(B106-C106,"MM:SS"))</f>
        <v>#N/A</v>
      </c>
    </row>
    <row r="107" spans="1:4" x14ac:dyDescent="0.25">
      <c r="A107" s="5" t="str">
        <f>CoursesBasis!$F28&amp;CoursesBasis!R$2</f>
        <v>E8L6</v>
      </c>
      <c r="B107" s="56">
        <f>CoursesBasis!$R28</f>
        <v>0</v>
      </c>
      <c r="C107" s="67" t="e">
        <f t="shared" si="8"/>
        <v>#N/A</v>
      </c>
      <c r="D107" s="67" t="e">
        <f t="shared" si="9"/>
        <v>#N/A</v>
      </c>
    </row>
    <row r="108" spans="1:4" x14ac:dyDescent="0.25">
      <c r="A108" s="66" t="str">
        <f>CoursesBasis!$F28&amp;CoursesBasis!M$2</f>
        <v>E8OB</v>
      </c>
      <c r="B108" s="67">
        <f>CoursesBasis!M28</f>
        <v>3.8410937500000013E-2</v>
      </c>
      <c r="C108" s="67" t="e">
        <f t="shared" si="8"/>
        <v>#N/A</v>
      </c>
      <c r="D108" s="67" t="e">
        <f t="shared" si="9"/>
        <v>#N/A</v>
      </c>
    </row>
    <row r="109" spans="1:4" x14ac:dyDescent="0.25">
      <c r="A109" s="5" t="str">
        <f>CoursesBasis!$F28&amp;CoursesBasis!N$2</f>
        <v>E8VB</v>
      </c>
      <c r="B109" s="56">
        <f>CoursesBasis!$N28</f>
        <v>4.460625E-2</v>
      </c>
      <c r="C109" s="67" t="e">
        <f t="shared" si="8"/>
        <v>#N/A</v>
      </c>
      <c r="D109" s="67" t="e">
        <f t="shared" si="9"/>
        <v>#N/A</v>
      </c>
    </row>
    <row r="110" spans="1:4" x14ac:dyDescent="0.25">
      <c r="A110" s="66" t="str">
        <f>CoursesBasis!$F20&amp;CoursesBasis!Q$2</f>
        <v>LT1GL</v>
      </c>
      <c r="B110" s="67">
        <f>CoursesBasis!$Q20</f>
        <v>3.1959374999999998E-2</v>
      </c>
      <c r="C110" s="67" t="e">
        <f t="shared" si="8"/>
        <v>#N/A</v>
      </c>
      <c r="D110" s="67" t="e">
        <f t="shared" si="9"/>
        <v>#N/A</v>
      </c>
    </row>
    <row r="111" spans="1:4" x14ac:dyDescent="0.25">
      <c r="A111" s="66" t="str">
        <f>CoursesBasis!$F20&amp;CoursesBasis!O$2</f>
        <v>LT1KHR</v>
      </c>
      <c r="B111" s="67">
        <f>CoursesBasis!$O20</f>
        <v>2.6632812499999999E-2</v>
      </c>
      <c r="C111" s="67" t="e">
        <f t="shared" si="8"/>
        <v>#N/A</v>
      </c>
      <c r="D111" s="67" t="e">
        <f t="shared" si="9"/>
        <v>#N/A</v>
      </c>
    </row>
    <row r="112" spans="1:4" x14ac:dyDescent="0.25">
      <c r="A112" s="5" t="str">
        <f>CoursesBasis!$F20&amp;CoursesBasis!P$2</f>
        <v>LT1KLB</v>
      </c>
      <c r="B112" s="56">
        <f>CoursesBasis!$P20</f>
        <v>3.1071614583333337E-2</v>
      </c>
      <c r="C112" s="67" t="e">
        <f t="shared" si="8"/>
        <v>#N/A</v>
      </c>
      <c r="D112" s="67" t="e">
        <f t="shared" si="9"/>
        <v>#N/A</v>
      </c>
    </row>
    <row r="113" spans="1:4" x14ac:dyDescent="0.25">
      <c r="A113" s="5" t="str">
        <f>CoursesBasis!$F20&amp;CoursesBasis!R$2</f>
        <v>LT1L6</v>
      </c>
      <c r="B113" s="56">
        <f>CoursesBasis!$R20</f>
        <v>0</v>
      </c>
      <c r="C113" s="67" t="e">
        <f t="shared" si="8"/>
        <v>#N/A</v>
      </c>
      <c r="D113" s="67" t="e">
        <f t="shared" si="9"/>
        <v>#N/A</v>
      </c>
    </row>
    <row r="114" spans="1:4" x14ac:dyDescent="0.25">
      <c r="A114" s="66" t="str">
        <f>CoursesBasis!$F20&amp;CoursesBasis!M$2</f>
        <v>LT1OB</v>
      </c>
      <c r="B114" s="67">
        <f>CoursesBasis!M20</f>
        <v>2.7520572916666673E-2</v>
      </c>
      <c r="C114" s="67" t="e">
        <f t="shared" si="8"/>
        <v>#N/A</v>
      </c>
      <c r="D114" s="67" t="e">
        <f t="shared" si="9"/>
        <v>#N/A</v>
      </c>
    </row>
    <row r="115" spans="1:4" x14ac:dyDescent="0.25">
      <c r="A115" s="5" t="str">
        <f>CoursesBasis!$F20&amp;CoursesBasis!N$2</f>
        <v>LT1VB</v>
      </c>
      <c r="B115" s="56">
        <f>CoursesBasis!$N20</f>
        <v>3.1959374999999998E-2</v>
      </c>
      <c r="C115" s="67" t="e">
        <f t="shared" si="8"/>
        <v>#N/A</v>
      </c>
      <c r="D115" s="67" t="e">
        <f t="shared" si="9"/>
        <v>#N/A</v>
      </c>
    </row>
    <row r="116" spans="1:4" x14ac:dyDescent="0.25">
      <c r="A116" s="66" t="str">
        <f>CoursesBasis!$F19&amp;CoursesBasis!Q$2</f>
        <v>ST1GL</v>
      </c>
      <c r="B116" s="67">
        <f>CoursesBasis!$Q19</f>
        <v>2.0039062499999996E-2</v>
      </c>
      <c r="C116" s="67" t="e">
        <f t="shared" si="8"/>
        <v>#N/A</v>
      </c>
      <c r="D116" s="67" t="e">
        <f t="shared" si="9"/>
        <v>#N/A</v>
      </c>
    </row>
    <row r="117" spans="1:4" x14ac:dyDescent="0.25">
      <c r="A117" s="66" t="str">
        <f>CoursesBasis!$F19&amp;CoursesBasis!O$2</f>
        <v>ST1KHR</v>
      </c>
      <c r="B117" s="67">
        <f>CoursesBasis!$O19</f>
        <v>1.6699218749999998E-2</v>
      </c>
      <c r="C117" s="67" t="e">
        <f t="shared" si="8"/>
        <v>#N/A</v>
      </c>
      <c r="D117" s="67" t="e">
        <f t="shared" si="9"/>
        <v>#N/A</v>
      </c>
    </row>
    <row r="118" spans="1:4" x14ac:dyDescent="0.25">
      <c r="A118" s="5" t="str">
        <f>CoursesBasis!$F19&amp;CoursesBasis!P$2</f>
        <v>ST1KLB</v>
      </c>
      <c r="B118" s="56">
        <f>CoursesBasis!$P19</f>
        <v>1.9482421874999999E-2</v>
      </c>
      <c r="C118" s="67" t="e">
        <f t="shared" si="8"/>
        <v>#N/A</v>
      </c>
      <c r="D118" s="67" t="e">
        <f t="shared" si="9"/>
        <v>#N/A</v>
      </c>
    </row>
    <row r="119" spans="1:4" x14ac:dyDescent="0.25">
      <c r="A119" s="5" t="str">
        <f>CoursesBasis!$F19&amp;CoursesBasis!R$2</f>
        <v>ST1L6</v>
      </c>
      <c r="B119" s="56">
        <f>CoursesBasis!$R19</f>
        <v>0</v>
      </c>
      <c r="C119" s="67" t="e">
        <f t="shared" si="8"/>
        <v>#N/A</v>
      </c>
      <c r="D119" s="67" t="e">
        <f t="shared" si="9"/>
        <v>#N/A</v>
      </c>
    </row>
    <row r="120" spans="1:4" x14ac:dyDescent="0.25">
      <c r="A120" s="66" t="str">
        <f>CoursesBasis!$F19&amp;CoursesBasis!M$2</f>
        <v>ST1OB</v>
      </c>
      <c r="B120" s="67">
        <f>CoursesBasis!M19</f>
        <v>1.7255859375000002E-2</v>
      </c>
      <c r="C120" s="67" t="e">
        <f t="shared" si="8"/>
        <v>#N/A</v>
      </c>
      <c r="D120" s="67" t="e">
        <f t="shared" si="9"/>
        <v>#N/A</v>
      </c>
    </row>
    <row r="121" spans="1:4" x14ac:dyDescent="0.25">
      <c r="A121" s="5" t="str">
        <f>CoursesBasis!$F19&amp;CoursesBasis!N$2</f>
        <v>ST1VB</v>
      </c>
      <c r="B121" s="56">
        <f>CoursesBasis!$N19</f>
        <v>2.0039062499999996E-2</v>
      </c>
      <c r="C121" s="67" t="e">
        <f t="shared" si="8"/>
        <v>#N/A</v>
      </c>
      <c r="D121" s="67" t="e">
        <f t="shared" si="9"/>
        <v>#N/A</v>
      </c>
    </row>
    <row r="122" spans="1:4" x14ac:dyDescent="0.25">
      <c r="A122" s="66" t="str">
        <f>CoursesBasis!$F3&amp;CoursesBasis!Q$2</f>
        <v>TH1GL</v>
      </c>
      <c r="B122" s="67">
        <f>CoursesBasis!$Q3</f>
        <v>3.90625E-2</v>
      </c>
      <c r="C122" s="67" t="e">
        <f t="shared" si="8"/>
        <v>#N/A</v>
      </c>
      <c r="D122" s="67" t="e">
        <f t="shared" si="9"/>
        <v>#N/A</v>
      </c>
    </row>
    <row r="123" spans="1:4" x14ac:dyDescent="0.25">
      <c r="A123" s="66" t="str">
        <f>CoursesBasis!$F3&amp;CoursesBasis!O$2</f>
        <v>TH1KHR</v>
      </c>
      <c r="B123" s="67">
        <f>CoursesBasis!$O3</f>
        <v>3.2552083333333329E-2</v>
      </c>
      <c r="C123" s="67">
        <f t="shared" si="8"/>
        <v>2.9201388888888888E-2</v>
      </c>
      <c r="D123" s="67" t="str">
        <f>IF(B123-C123&gt;0,"-"&amp;TEXT(B123-C123,"MM:SS"),"+"&amp;TEXT(C123-B123,"MM:SS"))</f>
        <v>-04:49</v>
      </c>
    </row>
    <row r="124" spans="1:4" x14ac:dyDescent="0.25">
      <c r="A124" s="5" t="str">
        <f>CoursesBasis!$F3&amp;CoursesBasis!P$2</f>
        <v>TH1KLB</v>
      </c>
      <c r="B124" s="56">
        <f>CoursesBasis!$P3</f>
        <v>3.7977430555555559E-2</v>
      </c>
      <c r="C124" s="67" t="e">
        <f t="shared" si="8"/>
        <v>#N/A</v>
      </c>
      <c r="D124" s="67" t="e">
        <f t="shared" ref="D124:D131" si="10">IF(B124-C124&gt;0,"-"&amp;TEXT(B124-C124,"MM:SS"),"+"&amp;TEXT(B124-C124,"MM:SS"))</f>
        <v>#N/A</v>
      </c>
    </row>
    <row r="125" spans="1:4" x14ac:dyDescent="0.25">
      <c r="A125" s="5" t="str">
        <f>CoursesBasis!$F3&amp;CoursesBasis!R$2</f>
        <v>TH1L6</v>
      </c>
      <c r="B125" s="56">
        <f>CoursesBasis!$R3</f>
        <v>0</v>
      </c>
      <c r="C125" s="67" t="e">
        <f t="shared" si="8"/>
        <v>#N/A</v>
      </c>
      <c r="D125" s="67" t="e">
        <f t="shared" si="10"/>
        <v>#N/A</v>
      </c>
    </row>
    <row r="126" spans="1:4" x14ac:dyDescent="0.25">
      <c r="A126" s="66" t="str">
        <f>CoursesBasis!$F3&amp;CoursesBasis!M$2</f>
        <v>TH1OB</v>
      </c>
      <c r="B126" s="67">
        <f>CoursesBasis!M3</f>
        <v>3.3637152777777783E-2</v>
      </c>
      <c r="C126" s="67" t="e">
        <f t="shared" si="8"/>
        <v>#N/A</v>
      </c>
      <c r="D126" s="67" t="e">
        <f t="shared" si="10"/>
        <v>#N/A</v>
      </c>
    </row>
    <row r="127" spans="1:4" x14ac:dyDescent="0.25">
      <c r="A127" s="5" t="str">
        <f>CoursesBasis!$F3&amp;CoursesBasis!N$2</f>
        <v>TH1VB</v>
      </c>
      <c r="B127" s="56">
        <f>CoursesBasis!$N3</f>
        <v>3.90625E-2</v>
      </c>
      <c r="C127" s="67" t="e">
        <f t="shared" si="8"/>
        <v>#N/A</v>
      </c>
      <c r="D127" s="67" t="e">
        <f t="shared" si="10"/>
        <v>#N/A</v>
      </c>
    </row>
    <row r="128" spans="1:4" x14ac:dyDescent="0.25">
      <c r="A128" s="66" t="str">
        <f>CoursesBasis!$F4&amp;CoursesBasis!Q$2</f>
        <v>TH2GL</v>
      </c>
      <c r="B128" s="67">
        <f>CoursesBasis!$Q4</f>
        <v>2.7156249999999996E-2</v>
      </c>
      <c r="C128" s="67" t="e">
        <f t="shared" si="8"/>
        <v>#N/A</v>
      </c>
      <c r="D128" s="67" t="e">
        <f t="shared" si="10"/>
        <v>#N/A</v>
      </c>
    </row>
    <row r="129" spans="1:4" x14ac:dyDescent="0.25">
      <c r="A129" s="66" t="str">
        <f>CoursesBasis!$F4&amp;CoursesBasis!O$2</f>
        <v>TH2KHR</v>
      </c>
      <c r="B129" s="67">
        <f>CoursesBasis!$O4</f>
        <v>2.2630208333333332E-2</v>
      </c>
      <c r="C129" s="67" t="e">
        <f t="shared" si="8"/>
        <v>#N/A</v>
      </c>
      <c r="D129" s="67" t="e">
        <f t="shared" si="10"/>
        <v>#N/A</v>
      </c>
    </row>
    <row r="130" spans="1:4" x14ac:dyDescent="0.25">
      <c r="A130" s="5" t="str">
        <f>CoursesBasis!$F4&amp;CoursesBasis!P$2</f>
        <v>TH2KLB</v>
      </c>
      <c r="B130" s="56">
        <f>CoursesBasis!$P4</f>
        <v>2.6401909722222221E-2</v>
      </c>
      <c r="C130" s="67" t="e">
        <f t="shared" ref="C130:C157" si="11">VLOOKUP(A130,BahnLaufzeiten,14,FALSE)</f>
        <v>#N/A</v>
      </c>
      <c r="D130" s="67" t="e">
        <f t="shared" si="10"/>
        <v>#N/A</v>
      </c>
    </row>
    <row r="131" spans="1:4" x14ac:dyDescent="0.25">
      <c r="A131" s="5" t="str">
        <f>CoursesBasis!$F4&amp;CoursesBasis!R$2</f>
        <v>TH2L6</v>
      </c>
      <c r="B131" s="56">
        <f>CoursesBasis!$R4</f>
        <v>0</v>
      </c>
      <c r="C131" s="67" t="e">
        <f t="shared" si="11"/>
        <v>#N/A</v>
      </c>
      <c r="D131" s="67" t="e">
        <f t="shared" si="10"/>
        <v>#N/A</v>
      </c>
    </row>
    <row r="132" spans="1:4" x14ac:dyDescent="0.25">
      <c r="A132" s="66" t="str">
        <f>CoursesBasis!$F4&amp;CoursesBasis!M$2</f>
        <v>TH2OB</v>
      </c>
      <c r="B132" s="67">
        <f>CoursesBasis!M4</f>
        <v>2.3384548611111115E-2</v>
      </c>
      <c r="C132" s="67" t="e">
        <f t="shared" si="11"/>
        <v>#N/A</v>
      </c>
      <c r="D132" s="67" t="e">
        <f>IF(B132-C132&gt;0,"-"&amp;TEXT(B132-C132,"MM:SS"),"+"&amp;TEXT(C132-B132,"MM:SS"))</f>
        <v>#N/A</v>
      </c>
    </row>
    <row r="133" spans="1:4" x14ac:dyDescent="0.25">
      <c r="A133" s="5" t="str">
        <f>CoursesBasis!$F4&amp;CoursesBasis!N$2</f>
        <v>TH2VB</v>
      </c>
      <c r="B133" s="56">
        <f>CoursesBasis!$N4</f>
        <v>2.7156249999999996E-2</v>
      </c>
      <c r="C133" s="67">
        <f t="shared" si="11"/>
        <v>2.210648148148148E-2</v>
      </c>
      <c r="D133" s="67" t="str">
        <f t="shared" ref="D133:D138" si="12">IF(B133-C133&gt;0,"-"&amp;TEXT(B133-C133,"MM:SS"),"+"&amp;TEXT(B133-C133,"MM:SS"))</f>
        <v>-07:16</v>
      </c>
    </row>
    <row r="134" spans="1:4" x14ac:dyDescent="0.25">
      <c r="A134" s="66" t="str">
        <f>CoursesBasis!$F5&amp;CoursesBasis!Q$2</f>
        <v>TH3GL</v>
      </c>
      <c r="B134" s="67">
        <f>CoursesBasis!$Q5</f>
        <v>2.1406249999999998E-2</v>
      </c>
      <c r="C134" s="67" t="e">
        <f t="shared" si="11"/>
        <v>#N/A</v>
      </c>
      <c r="D134" s="67" t="e">
        <f t="shared" si="12"/>
        <v>#N/A</v>
      </c>
    </row>
    <row r="135" spans="1:4" x14ac:dyDescent="0.25">
      <c r="A135" s="66" t="str">
        <f>CoursesBasis!$F5&amp;CoursesBasis!O$2</f>
        <v>TH3KHR</v>
      </c>
      <c r="B135" s="67">
        <f>CoursesBasis!$O5</f>
        <v>1.7838541666666666E-2</v>
      </c>
      <c r="C135" s="67" t="e">
        <f t="shared" si="11"/>
        <v>#N/A</v>
      </c>
      <c r="D135" s="67" t="e">
        <f t="shared" si="12"/>
        <v>#N/A</v>
      </c>
    </row>
    <row r="136" spans="1:4" x14ac:dyDescent="0.25">
      <c r="A136" s="5" t="str">
        <f>CoursesBasis!$F5&amp;CoursesBasis!P$2</f>
        <v>TH3KLB</v>
      </c>
      <c r="B136" s="56">
        <f>CoursesBasis!$P5</f>
        <v>2.0811631944444443E-2</v>
      </c>
      <c r="C136" s="67" t="e">
        <f t="shared" si="11"/>
        <v>#N/A</v>
      </c>
      <c r="D136" s="67" t="e">
        <f t="shared" si="12"/>
        <v>#N/A</v>
      </c>
    </row>
    <row r="137" spans="1:4" x14ac:dyDescent="0.25">
      <c r="A137" s="5" t="str">
        <f>CoursesBasis!$F5&amp;CoursesBasis!R$2</f>
        <v>TH3L6</v>
      </c>
      <c r="B137" s="56">
        <f>CoursesBasis!$R5</f>
        <v>0</v>
      </c>
      <c r="C137" s="67" t="e">
        <f t="shared" si="11"/>
        <v>#N/A</v>
      </c>
      <c r="D137" s="67" t="e">
        <f t="shared" si="12"/>
        <v>#N/A</v>
      </c>
    </row>
    <row r="138" spans="1:4" x14ac:dyDescent="0.25">
      <c r="A138" s="66" t="str">
        <f>CoursesBasis!$F5&amp;CoursesBasis!M$2</f>
        <v>TH3OB</v>
      </c>
      <c r="B138" s="67">
        <f>CoursesBasis!M5</f>
        <v>1.8433159722222224E-2</v>
      </c>
      <c r="C138" s="67">
        <f t="shared" si="11"/>
        <v>1.4085648148148151E-2</v>
      </c>
      <c r="D138" s="67" t="str">
        <f t="shared" si="12"/>
        <v>-06:16</v>
      </c>
    </row>
    <row r="139" spans="1:4" x14ac:dyDescent="0.25">
      <c r="A139" s="5" t="str">
        <f>CoursesBasis!$F5&amp;CoursesBasis!N$2</f>
        <v>TH3VB</v>
      </c>
      <c r="B139" s="56">
        <f>CoursesBasis!$N5</f>
        <v>2.1406249999999998E-2</v>
      </c>
      <c r="C139" s="67" t="e">
        <f t="shared" si="11"/>
        <v>#N/A</v>
      </c>
      <c r="D139" s="67" t="e">
        <f>IF(B139-C139&gt;0,"-"&amp;TEXT(B139-C139,"MM:SS"),"+"&amp;TEXT(C139-B139,"MM:SS"))</f>
        <v>#N/A</v>
      </c>
    </row>
    <row r="140" spans="1:4" x14ac:dyDescent="0.25">
      <c r="A140" s="66" t="str">
        <f>CoursesBasis!$F6&amp;CoursesBasis!Q$2</f>
        <v>TH4GL</v>
      </c>
      <c r="B140" s="67">
        <f>CoursesBasis!$Q6</f>
        <v>2.1218749999999998E-2</v>
      </c>
      <c r="C140" s="67" t="e">
        <f t="shared" si="11"/>
        <v>#N/A</v>
      </c>
      <c r="D140" s="67" t="e">
        <f>IF(B140-C140&gt;0,"-"&amp;TEXT(B140-C140,"MM:SS"),"+"&amp;TEXT(B140-C140,"MM:SS"))</f>
        <v>#N/A</v>
      </c>
    </row>
    <row r="141" spans="1:4" x14ac:dyDescent="0.25">
      <c r="A141" s="66" t="str">
        <f>CoursesBasis!$F6&amp;CoursesBasis!O$2</f>
        <v>TH4KHR</v>
      </c>
      <c r="B141" s="67">
        <f>CoursesBasis!$O6</f>
        <v>1.7682291666666666E-2</v>
      </c>
      <c r="C141" s="67" t="e">
        <f t="shared" si="11"/>
        <v>#N/A</v>
      </c>
      <c r="D141" s="67" t="e">
        <f>IF(B141-C141&gt;0,"-"&amp;TEXT(B141-C141,"MM:SS"),"+"&amp;TEXT(B141-C141,"MM:SS"))</f>
        <v>#N/A</v>
      </c>
    </row>
    <row r="142" spans="1:4" x14ac:dyDescent="0.25">
      <c r="A142" s="5" t="str">
        <f>CoursesBasis!$F6&amp;CoursesBasis!P$2</f>
        <v>TH4KLB</v>
      </c>
      <c r="B142" s="56">
        <f>CoursesBasis!$P6</f>
        <v>2.0629340277777779E-2</v>
      </c>
      <c r="C142" s="67">
        <f t="shared" si="11"/>
        <v>1.5717592592592592E-2</v>
      </c>
      <c r="D142" s="67" t="str">
        <f>IF(B142-C142&gt;0,"-"&amp;TEXT(B142-C142,"MM:SS"),"+"&amp;TEXT(C142-B142,"MM:SS"))</f>
        <v>-07:04</v>
      </c>
    </row>
    <row r="143" spans="1:4" x14ac:dyDescent="0.25">
      <c r="A143" s="5" t="str">
        <f>CoursesBasis!$F6&amp;CoursesBasis!R$2</f>
        <v>TH4L6</v>
      </c>
      <c r="B143" s="56">
        <f>CoursesBasis!$R6</f>
        <v>0</v>
      </c>
      <c r="C143" s="67" t="e">
        <f t="shared" si="11"/>
        <v>#N/A</v>
      </c>
      <c r="D143" s="67" t="e">
        <f>IF(B143-C143&gt;0,"-"&amp;TEXT(B143-C143,"MM:SS"),"+"&amp;TEXT(B143-C143,"MM:SS"))</f>
        <v>#N/A</v>
      </c>
    </row>
    <row r="144" spans="1:4" x14ac:dyDescent="0.25">
      <c r="A144" s="66" t="str">
        <f>CoursesBasis!$F6&amp;CoursesBasis!M$2</f>
        <v>TH4OB</v>
      </c>
      <c r="B144" s="67">
        <f>CoursesBasis!M6</f>
        <v>1.8271701388888891E-2</v>
      </c>
      <c r="C144" s="67" t="e">
        <f t="shared" si="11"/>
        <v>#N/A</v>
      </c>
      <c r="D144" s="67" t="e">
        <f>IF(B144-C144&gt;0,"-"&amp;TEXT(B144-C144,"MM:SS"),"+"&amp;TEXT(B144-C144,"MM:SS"))</f>
        <v>#N/A</v>
      </c>
    </row>
    <row r="145" spans="1:4" x14ac:dyDescent="0.25">
      <c r="A145" s="5" t="str">
        <f>CoursesBasis!$F6&amp;CoursesBasis!N$2</f>
        <v>TH4VB</v>
      </c>
      <c r="B145" s="56">
        <f>CoursesBasis!$N6</f>
        <v>2.1218749999999998E-2</v>
      </c>
      <c r="C145" s="67" t="e">
        <f t="shared" si="11"/>
        <v>#N/A</v>
      </c>
      <c r="D145" s="67" t="e">
        <f>IF(B145-C145&gt;0,"-"&amp;TEXT(B145-C145,"MM:SS"),"+"&amp;TEXT(B145-C145,"MM:SS"))</f>
        <v>#N/A</v>
      </c>
    </row>
    <row r="146" spans="1:4" x14ac:dyDescent="0.25">
      <c r="A146" s="66" t="str">
        <f>CoursesBasis!$F7&amp;CoursesBasis!Q$2</f>
        <v>TH5GL</v>
      </c>
      <c r="B146" s="67">
        <f>CoursesBasis!$Q7</f>
        <v>1.575E-2</v>
      </c>
      <c r="C146" s="67">
        <f t="shared" si="11"/>
        <v>1.577546296296296E-2</v>
      </c>
      <c r="D146" s="67" t="str">
        <f>IF(B146-C146&gt;0,"-"&amp;TEXT(B146-C146,"MM:SS"),"+"&amp;TEXT(C146-B146,"MM:SS"))</f>
        <v>+00:02</v>
      </c>
    </row>
    <row r="147" spans="1:4" x14ac:dyDescent="0.25">
      <c r="A147" s="66" t="str">
        <f>CoursesBasis!$F7&amp;CoursesBasis!O$2</f>
        <v>TH5KHR</v>
      </c>
      <c r="B147" s="67">
        <f>CoursesBasis!$O7</f>
        <v>1.3125E-2</v>
      </c>
      <c r="C147" s="67" t="e">
        <f t="shared" si="11"/>
        <v>#N/A</v>
      </c>
      <c r="D147" s="67" t="e">
        <f t="shared" ref="D147:D155" si="13">IF(B147-C147&gt;0,"-"&amp;TEXT(B147-C147,"MM:SS"),"+"&amp;TEXT(B147-C147,"MM:SS"))</f>
        <v>#N/A</v>
      </c>
    </row>
    <row r="148" spans="1:4" x14ac:dyDescent="0.25">
      <c r="A148" s="5" t="str">
        <f>CoursesBasis!$F7&amp;CoursesBasis!P$2</f>
        <v>TH5KLB</v>
      </c>
      <c r="B148" s="56">
        <f>CoursesBasis!$P7</f>
        <v>1.53125E-2</v>
      </c>
      <c r="C148" s="67" t="e">
        <f t="shared" si="11"/>
        <v>#N/A</v>
      </c>
      <c r="D148" s="67" t="e">
        <f t="shared" si="13"/>
        <v>#N/A</v>
      </c>
    </row>
    <row r="149" spans="1:4" x14ac:dyDescent="0.25">
      <c r="A149" s="5" t="str">
        <f>CoursesBasis!$F7&amp;CoursesBasis!R$2</f>
        <v>TH5L6</v>
      </c>
      <c r="B149" s="56">
        <f>CoursesBasis!$R7</f>
        <v>0</v>
      </c>
      <c r="C149" s="67" t="e">
        <f t="shared" si="11"/>
        <v>#N/A</v>
      </c>
      <c r="D149" s="67" t="e">
        <f t="shared" si="13"/>
        <v>#N/A</v>
      </c>
    </row>
    <row r="150" spans="1:4" x14ac:dyDescent="0.25">
      <c r="A150" s="66" t="str">
        <f>CoursesBasis!$F7&amp;CoursesBasis!M$2</f>
        <v>TH5OB</v>
      </c>
      <c r="B150" s="67">
        <f>CoursesBasis!M7</f>
        <v>1.3562500000000002E-2</v>
      </c>
      <c r="C150" s="67" t="e">
        <f t="shared" si="11"/>
        <v>#N/A</v>
      </c>
      <c r="D150" s="67" t="e">
        <f t="shared" si="13"/>
        <v>#N/A</v>
      </c>
    </row>
    <row r="151" spans="1:4" x14ac:dyDescent="0.25">
      <c r="A151" s="5" t="str">
        <f>CoursesBasis!$F7&amp;CoursesBasis!N$2</f>
        <v>TH5VB</v>
      </c>
      <c r="B151" s="56">
        <f>CoursesBasis!$N7</f>
        <v>1.575E-2</v>
      </c>
      <c r="C151" s="67" t="e">
        <f t="shared" si="11"/>
        <v>#N/A</v>
      </c>
      <c r="D151" s="67" t="e">
        <f t="shared" si="13"/>
        <v>#N/A</v>
      </c>
    </row>
    <row r="152" spans="1:4" x14ac:dyDescent="0.25">
      <c r="A152" s="66" t="str">
        <f>CoursesBasis!$F8&amp;CoursesBasis!Q$2</f>
        <v>TH6GL</v>
      </c>
      <c r="B152" s="67">
        <f>CoursesBasis!$Q8</f>
        <v>1.8093749999999999E-2</v>
      </c>
      <c r="C152" s="67" t="e">
        <f t="shared" si="11"/>
        <v>#N/A</v>
      </c>
      <c r="D152" s="67" t="e">
        <f t="shared" si="13"/>
        <v>#N/A</v>
      </c>
    </row>
    <row r="153" spans="1:4" x14ac:dyDescent="0.25">
      <c r="A153" s="66" t="str">
        <f>CoursesBasis!$F8&amp;CoursesBasis!O$2</f>
        <v>TH6KHR</v>
      </c>
      <c r="B153" s="67">
        <f>CoursesBasis!$O8</f>
        <v>1.5078125E-2</v>
      </c>
      <c r="C153" s="67" t="e">
        <f t="shared" si="11"/>
        <v>#N/A</v>
      </c>
      <c r="D153" s="67" t="e">
        <f t="shared" si="13"/>
        <v>#N/A</v>
      </c>
    </row>
    <row r="154" spans="1:4" x14ac:dyDescent="0.25">
      <c r="A154" s="5" t="str">
        <f>CoursesBasis!$F8&amp;CoursesBasis!P$2</f>
        <v>TH6KLB</v>
      </c>
      <c r="B154" s="56">
        <f>CoursesBasis!$P8</f>
        <v>1.7591145833333335E-2</v>
      </c>
      <c r="C154" s="67" t="e">
        <f t="shared" si="11"/>
        <v>#N/A</v>
      </c>
      <c r="D154" s="67" t="e">
        <f t="shared" si="13"/>
        <v>#N/A</v>
      </c>
    </row>
    <row r="155" spans="1:4" x14ac:dyDescent="0.25">
      <c r="A155" s="5" t="str">
        <f>CoursesBasis!$F8&amp;CoursesBasis!R$2</f>
        <v>TH6L6</v>
      </c>
      <c r="B155" s="56">
        <f>CoursesBasis!$R8</f>
        <v>0</v>
      </c>
      <c r="C155" s="67" t="e">
        <f t="shared" si="11"/>
        <v>#N/A</v>
      </c>
      <c r="D155" s="67" t="e">
        <f t="shared" si="13"/>
        <v>#N/A</v>
      </c>
    </row>
    <row r="156" spans="1:4" x14ac:dyDescent="0.25">
      <c r="A156" s="66" t="str">
        <f>CoursesBasis!$F8&amp;CoursesBasis!M$2</f>
        <v>TH6OB</v>
      </c>
      <c r="B156" s="67">
        <f>CoursesBasis!M8</f>
        <v>1.558072916666667E-2</v>
      </c>
      <c r="C156" s="67">
        <f t="shared" si="11"/>
        <v>1.3877314814814815E-2</v>
      </c>
      <c r="D156" s="67" t="str">
        <f>IF(B156-C156&gt;0,"-"&amp;TEXT(B156-C156,"MM:SS"),"+"&amp;TEXT(C156-B156,"MM:SS"))</f>
        <v>-02:27</v>
      </c>
    </row>
    <row r="157" spans="1:4" x14ac:dyDescent="0.25">
      <c r="A157" s="5" t="str">
        <f>CoursesBasis!$F8&amp;CoursesBasis!N$2</f>
        <v>TH6VB</v>
      </c>
      <c r="B157" s="56">
        <f>CoursesBasis!$N8</f>
        <v>1.8093749999999999E-2</v>
      </c>
      <c r="C157" s="67" t="e">
        <f t="shared" si="11"/>
        <v>#N/A</v>
      </c>
      <c r="D157" s="67" t="e">
        <f>IF(B157-C157&gt;0,"-"&amp;TEXT(B157-C157,"MM:SS"),"+"&amp;TEXT(B157-C157,"MM:SS"))</f>
        <v>#N/A</v>
      </c>
    </row>
  </sheetData>
  <autoFilter ref="A1:D157">
    <sortState ref="A2:D157">
      <sortCondition ref="A1:A157"/>
    </sortState>
  </autoFilter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24</vt:i4>
      </vt:variant>
    </vt:vector>
  </HeadingPairs>
  <TitlesOfParts>
    <vt:vector size="28" baseType="lpstr">
      <vt:lpstr>Parameters</vt:lpstr>
      <vt:lpstr>Plan12h2019</vt:lpstr>
      <vt:lpstr>CoursesBasis</vt:lpstr>
      <vt:lpstr>TimeBasis</vt:lpstr>
      <vt:lpstr>BahnLaufzeiten</vt:lpstr>
      <vt:lpstr>Basis</vt:lpstr>
      <vt:lpstr>Climbfaktor</vt:lpstr>
      <vt:lpstr>CourseData</vt:lpstr>
      <vt:lpstr>Courses</vt:lpstr>
      <vt:lpstr>Dämmerung</vt:lpstr>
      <vt:lpstr>Dämmerungszeit</vt:lpstr>
      <vt:lpstr>Parameters!Druckbereich</vt:lpstr>
      <vt:lpstr>Plan12h2019!Druckbereich</vt:lpstr>
      <vt:lpstr>Plan12h2019!Drucktitel</vt:lpstr>
      <vt:lpstr>Endzeit</vt:lpstr>
      <vt:lpstr>Erm</vt:lpstr>
      <vt:lpstr>ErmP</vt:lpstr>
      <vt:lpstr>IstLaufzeiten</vt:lpstr>
      <vt:lpstr>Schwierigkeit</vt:lpstr>
      <vt:lpstr>SchwierigkeitP</vt:lpstr>
      <vt:lpstr>Staffeldauer</vt:lpstr>
      <vt:lpstr>Startzeit</vt:lpstr>
      <vt:lpstr>Teilnehmer</vt:lpstr>
      <vt:lpstr>TimeBasis</vt:lpstr>
      <vt:lpstr>tooLate</vt:lpstr>
      <vt:lpstr>Twilight</vt:lpstr>
      <vt:lpstr>Zeit</vt:lpstr>
      <vt:lpstr>Zielzeit</vt:lpstr>
    </vt:vector>
  </TitlesOfParts>
  <Company>100world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 ultimative 24-h-OL Tabelle</dc:title>
  <dc:creator>Valerio Casanova;Veikko Baath</dc:creator>
  <cp:lastModifiedBy>Baath, Veikko</cp:lastModifiedBy>
  <cp:lastPrinted>2019-05-30T14:22:34Z</cp:lastPrinted>
  <dcterms:created xsi:type="dcterms:W3CDTF">2009-05-11T13:51:18Z</dcterms:created>
  <dcterms:modified xsi:type="dcterms:W3CDTF">2019-06-05T21:26:42Z</dcterms:modified>
</cp:coreProperties>
</file>